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árcio\DIVERSOS\Henrique ATP\Centro de Convenções UFPE\Projetos de Terraplenagem, Drenagem e Pavimentação\Drenagem\"/>
    </mc:Choice>
  </mc:AlternateContent>
  <bookViews>
    <workbookView xWindow="0" yWindow="0" windowWidth="24000" windowHeight="10575"/>
  </bookViews>
  <sheets>
    <sheet name="Dimensionamento" sheetId="2" r:id="rId1"/>
  </sheets>
  <definedNames>
    <definedName name="_xlnm.Print_Area" localSheetId="0">Dimensionamento!$A$1:$R$127</definedName>
  </definedNames>
  <calcPr calcId="162913"/>
</workbook>
</file>

<file path=xl/calcChain.xml><?xml version="1.0" encoding="utf-8"?>
<calcChain xmlns="http://schemas.openxmlformats.org/spreadsheetml/2006/main">
  <c r="O87" i="2" l="1"/>
  <c r="M82" i="2"/>
  <c r="S87" i="2"/>
  <c r="Z87" i="2" s="1"/>
  <c r="N87" i="2"/>
  <c r="S86" i="2"/>
  <c r="Z86" i="2" s="1"/>
  <c r="N86" i="2"/>
  <c r="S85" i="2"/>
  <c r="Z85" i="2" s="1"/>
  <c r="N85" i="2"/>
  <c r="S84" i="2"/>
  <c r="Z84" i="2" s="1"/>
  <c r="N84" i="2"/>
  <c r="S83" i="2"/>
  <c r="Z83" i="2" s="1"/>
  <c r="N83" i="2"/>
  <c r="M83" i="2"/>
  <c r="M84" i="2" s="1"/>
  <c r="M85" i="2" s="1"/>
  <c r="M86" i="2" s="1"/>
  <c r="M87" i="2" s="1"/>
  <c r="N82" i="2"/>
  <c r="O82" i="2" s="1"/>
  <c r="O83" i="2" s="1"/>
  <c r="O84" i="2" s="1"/>
  <c r="O85" i="2" s="1"/>
  <c r="O86" i="2" s="1"/>
  <c r="L75" i="2"/>
  <c r="S82" i="2"/>
  <c r="Z82" i="2" s="1"/>
  <c r="L74" i="2"/>
  <c r="N74" i="2"/>
  <c r="S75" i="2"/>
  <c r="Z75" i="2" s="1"/>
  <c r="N75" i="2"/>
  <c r="S74" i="2"/>
  <c r="Z74" i="2" s="1"/>
  <c r="S73" i="2"/>
  <c r="Z73" i="2" s="1"/>
  <c r="N73" i="2"/>
  <c r="O73" i="2" s="1"/>
  <c r="M73" i="2"/>
  <c r="M74" i="2" s="1"/>
  <c r="M75" i="2" s="1"/>
  <c r="S66" i="2"/>
  <c r="Z66" i="2" s="1"/>
  <c r="N66" i="2"/>
  <c r="T65" i="2"/>
  <c r="U65" i="2" s="1"/>
  <c r="S65" i="2"/>
  <c r="Z65" i="2" s="1"/>
  <c r="N65" i="2"/>
  <c r="U64" i="2"/>
  <c r="W64" i="2" s="1"/>
  <c r="T64" i="2"/>
  <c r="S64" i="2"/>
  <c r="Z64" i="2" s="1"/>
  <c r="N64" i="2"/>
  <c r="Z63" i="2"/>
  <c r="V63" i="2"/>
  <c r="U63" i="2"/>
  <c r="W63" i="2" s="1"/>
  <c r="T63" i="2"/>
  <c r="S63" i="2"/>
  <c r="N63" i="2"/>
  <c r="M63" i="2"/>
  <c r="M64" i="2" s="1"/>
  <c r="M65" i="2" s="1"/>
  <c r="M66" i="2" s="1"/>
  <c r="S62" i="2"/>
  <c r="Z62" i="2" s="1"/>
  <c r="N62" i="2"/>
  <c r="O62" i="2" s="1"/>
  <c r="O63" i="2" s="1"/>
  <c r="O64" i="2" s="1"/>
  <c r="O65" i="2" s="1"/>
  <c r="M62" i="2"/>
  <c r="S61" i="2"/>
  <c r="Z61" i="2" s="1"/>
  <c r="N61" i="2"/>
  <c r="O61" i="2" s="1"/>
  <c r="M61" i="2"/>
  <c r="T54" i="2"/>
  <c r="U54" i="2" s="1"/>
  <c r="S54" i="2"/>
  <c r="Z54" i="2" s="1"/>
  <c r="N54" i="2"/>
  <c r="U53" i="2"/>
  <c r="W53" i="2" s="1"/>
  <c r="T53" i="2"/>
  <c r="S53" i="2"/>
  <c r="Z53" i="2" s="1"/>
  <c r="N53" i="2"/>
  <c r="Z52" i="2"/>
  <c r="V52" i="2"/>
  <c r="X52" i="2" s="1"/>
  <c r="Y52" i="2" s="1"/>
  <c r="P52" i="2" s="1"/>
  <c r="U52" i="2"/>
  <c r="W52" i="2" s="1"/>
  <c r="T52" i="2"/>
  <c r="S52" i="2"/>
  <c r="N52" i="2"/>
  <c r="S51" i="2"/>
  <c r="T51" i="2" s="1"/>
  <c r="U51" i="2" s="1"/>
  <c r="N51" i="2"/>
  <c r="T50" i="2"/>
  <c r="U50" i="2" s="1"/>
  <c r="S50" i="2"/>
  <c r="Z50" i="2" s="1"/>
  <c r="N50" i="2"/>
  <c r="U49" i="2"/>
  <c r="W49" i="2" s="1"/>
  <c r="T49" i="2"/>
  <c r="S49" i="2"/>
  <c r="Z49" i="2" s="1"/>
  <c r="N49" i="2"/>
  <c r="M49" i="2"/>
  <c r="M50" i="2" s="1"/>
  <c r="M51" i="2" s="1"/>
  <c r="M52" i="2" s="1"/>
  <c r="M53" i="2" s="1"/>
  <c r="M54" i="2" s="1"/>
  <c r="S48" i="2"/>
  <c r="Z48" i="2" s="1"/>
  <c r="N48" i="2"/>
  <c r="M48" i="2"/>
  <c r="S47" i="2"/>
  <c r="T47" i="2" s="1"/>
  <c r="U47" i="2" s="1"/>
  <c r="N47" i="2"/>
  <c r="O47" i="2" s="1"/>
  <c r="O48" i="2" s="1"/>
  <c r="O49" i="2" s="1"/>
  <c r="O50" i="2" s="1"/>
  <c r="O51" i="2" s="1"/>
  <c r="O52" i="2" s="1"/>
  <c r="O53" i="2" s="1"/>
  <c r="O54" i="2" s="1"/>
  <c r="O35" i="2"/>
  <c r="O34" i="2"/>
  <c r="M34" i="2"/>
  <c r="M33" i="2"/>
  <c r="O33" i="2"/>
  <c r="P35" i="2"/>
  <c r="P30" i="2"/>
  <c r="P31" i="2"/>
  <c r="P27" i="2"/>
  <c r="P20" i="2"/>
  <c r="P18" i="2"/>
  <c r="P19" i="2"/>
  <c r="O20" i="2"/>
  <c r="O19" i="2"/>
  <c r="L33" i="2"/>
  <c r="O29" i="2"/>
  <c r="O30" i="2" s="1"/>
  <c r="O31" i="2" s="1"/>
  <c r="O26" i="2"/>
  <c r="O27" i="2" s="1"/>
  <c r="O24" i="2"/>
  <c r="O22" i="2"/>
  <c r="O18" i="2"/>
  <c r="S35" i="2"/>
  <c r="Z35" i="2" s="1"/>
  <c r="N35" i="2"/>
  <c r="S34" i="2"/>
  <c r="Z34" i="2" s="1"/>
  <c r="N34" i="2"/>
  <c r="S33" i="2"/>
  <c r="Z33" i="2" s="1"/>
  <c r="N33" i="2"/>
  <c r="S31" i="2"/>
  <c r="Z31" i="2" s="1"/>
  <c r="N31" i="2"/>
  <c r="S30" i="2"/>
  <c r="Z30" i="2" s="1"/>
  <c r="N30" i="2"/>
  <c r="S29" i="2"/>
  <c r="Z29" i="2" s="1"/>
  <c r="N29" i="2"/>
  <c r="S27" i="2"/>
  <c r="Z27" i="2" s="1"/>
  <c r="N27" i="2"/>
  <c r="S26" i="2"/>
  <c r="Z26" i="2" s="1"/>
  <c r="N26" i="2"/>
  <c r="S24" i="2"/>
  <c r="Z24" i="2" s="1"/>
  <c r="N24" i="2"/>
  <c r="S22" i="2"/>
  <c r="Z22" i="2" s="1"/>
  <c r="N22" i="2"/>
  <c r="S20" i="2"/>
  <c r="Z20" i="2" s="1"/>
  <c r="N20" i="2"/>
  <c r="S19" i="2"/>
  <c r="Z19" i="2" s="1"/>
  <c r="N19" i="2"/>
  <c r="S18" i="2"/>
  <c r="Z18" i="2" s="1"/>
  <c r="N18" i="2"/>
  <c r="M29" i="2"/>
  <c r="M30" i="2" s="1"/>
  <c r="M31" i="2" s="1"/>
  <c r="M26" i="2"/>
  <c r="M27" i="2" s="1"/>
  <c r="M24" i="2"/>
  <c r="M22" i="2"/>
  <c r="M19" i="2"/>
  <c r="M20" i="2" s="1"/>
  <c r="M18" i="2"/>
  <c r="S17" i="2"/>
  <c r="Z17" i="2" s="1"/>
  <c r="N17" i="2"/>
  <c r="O17" i="2" s="1"/>
  <c r="M17" i="2"/>
  <c r="Y8" i="2"/>
  <c r="P8" i="2" s="1"/>
  <c r="P9" i="2"/>
  <c r="S10" i="2"/>
  <c r="Z10" i="2" s="1"/>
  <c r="S9" i="2"/>
  <c r="Z9" i="2" s="1"/>
  <c r="S8" i="2"/>
  <c r="Z8" i="2" s="1"/>
  <c r="N10" i="2"/>
  <c r="N9" i="2"/>
  <c r="N8" i="2"/>
  <c r="N7" i="2"/>
  <c r="T7" i="2"/>
  <c r="U7" i="2"/>
  <c r="Z7" i="2"/>
  <c r="S7" i="2"/>
  <c r="T85" i="2" l="1"/>
  <c r="U85" i="2" s="1"/>
  <c r="T83" i="2"/>
  <c r="U83" i="2" s="1"/>
  <c r="T84" i="2"/>
  <c r="U84" i="2" s="1"/>
  <c r="T86" i="2"/>
  <c r="U86" i="2" s="1"/>
  <c r="T87" i="2"/>
  <c r="U87" i="2" s="1"/>
  <c r="T82" i="2"/>
  <c r="U82" i="2" s="1"/>
  <c r="O74" i="2"/>
  <c r="O75" i="2" s="1"/>
  <c r="T75" i="2"/>
  <c r="U75" i="2" s="1"/>
  <c r="T74" i="2"/>
  <c r="U74" i="2" s="1"/>
  <c r="T73" i="2"/>
  <c r="U73" i="2" s="1"/>
  <c r="X63" i="2"/>
  <c r="Y63" i="2" s="1"/>
  <c r="P63" i="2" s="1"/>
  <c r="Q63" i="2" s="1"/>
  <c r="W65" i="2"/>
  <c r="V65" i="2"/>
  <c r="X65" i="2" s="1"/>
  <c r="Y65" i="2" s="1"/>
  <c r="P65" i="2" s="1"/>
  <c r="Q65" i="2" s="1"/>
  <c r="O66" i="2"/>
  <c r="V64" i="2"/>
  <c r="X64" i="2" s="1"/>
  <c r="Y64" i="2" s="1"/>
  <c r="P64" i="2" s="1"/>
  <c r="Q64" i="2" s="1"/>
  <c r="T66" i="2"/>
  <c r="U66" i="2" s="1"/>
  <c r="T62" i="2"/>
  <c r="U62" i="2" s="1"/>
  <c r="T61" i="2"/>
  <c r="U61" i="2" s="1"/>
  <c r="Q52" i="2"/>
  <c r="V50" i="2"/>
  <c r="X50" i="2" s="1"/>
  <c r="Y50" i="2" s="1"/>
  <c r="P50" i="2" s="1"/>
  <c r="Q50" i="2" s="1"/>
  <c r="W50" i="2"/>
  <c r="W51" i="2"/>
  <c r="V51" i="2"/>
  <c r="X51" i="2" s="1"/>
  <c r="Y51" i="2" s="1"/>
  <c r="P51" i="2" s="1"/>
  <c r="Q51" i="2" s="1"/>
  <c r="V54" i="2"/>
  <c r="X54" i="2" s="1"/>
  <c r="Y54" i="2" s="1"/>
  <c r="P54" i="2" s="1"/>
  <c r="Q54" i="2" s="1"/>
  <c r="W54" i="2"/>
  <c r="Z51" i="2"/>
  <c r="V49" i="2"/>
  <c r="X49" i="2" s="1"/>
  <c r="Y49" i="2" s="1"/>
  <c r="P49" i="2" s="1"/>
  <c r="Q49" i="2" s="1"/>
  <c r="V53" i="2"/>
  <c r="X53" i="2" s="1"/>
  <c r="Y53" i="2" s="1"/>
  <c r="P53" i="2" s="1"/>
  <c r="Q53" i="2" s="1"/>
  <c r="T48" i="2"/>
  <c r="U48" i="2" s="1"/>
  <c r="W47" i="2"/>
  <c r="V47" i="2"/>
  <c r="X47" i="2" s="1"/>
  <c r="Y47" i="2" s="1"/>
  <c r="P47" i="2" s="1"/>
  <c r="Q47" i="2" s="1"/>
  <c r="Z47" i="2"/>
  <c r="T33" i="2"/>
  <c r="U33" i="2" s="1"/>
  <c r="T34" i="2"/>
  <c r="U34" i="2" s="1"/>
  <c r="T35" i="2"/>
  <c r="U35" i="2" s="1"/>
  <c r="T29" i="2"/>
  <c r="U29" i="2" s="1"/>
  <c r="T30" i="2"/>
  <c r="U30" i="2" s="1"/>
  <c r="T31" i="2"/>
  <c r="U31" i="2" s="1"/>
  <c r="T27" i="2"/>
  <c r="U27" i="2" s="1"/>
  <c r="T26" i="2"/>
  <c r="U26" i="2" s="1"/>
  <c r="T24" i="2"/>
  <c r="U24" i="2" s="1"/>
  <c r="T22" i="2"/>
  <c r="U22" i="2" s="1"/>
  <c r="T18" i="2"/>
  <c r="U18" i="2" s="1"/>
  <c r="T19" i="2"/>
  <c r="U19" i="2" s="1"/>
  <c r="T20" i="2"/>
  <c r="U20" i="2" s="1"/>
  <c r="M35" i="2"/>
  <c r="T17" i="2"/>
  <c r="U17" i="2" s="1"/>
  <c r="T8" i="2"/>
  <c r="U8" i="2" s="1"/>
  <c r="T9" i="2"/>
  <c r="U9" i="2" s="1"/>
  <c r="T10" i="2"/>
  <c r="U10" i="2" s="1"/>
  <c r="V7" i="2"/>
  <c r="W7" i="2"/>
  <c r="V86" i="2" l="1"/>
  <c r="X86" i="2" s="1"/>
  <c r="Y86" i="2" s="1"/>
  <c r="P86" i="2" s="1"/>
  <c r="Q86" i="2" s="1"/>
  <c r="W86" i="2"/>
  <c r="V83" i="2"/>
  <c r="W83" i="2"/>
  <c r="V84" i="2"/>
  <c r="X84" i="2" s="1"/>
  <c r="Y84" i="2" s="1"/>
  <c r="P84" i="2" s="1"/>
  <c r="Q84" i="2" s="1"/>
  <c r="W84" i="2"/>
  <c r="V87" i="2"/>
  <c r="W87" i="2"/>
  <c r="V85" i="2"/>
  <c r="X85" i="2" s="1"/>
  <c r="Y85" i="2" s="1"/>
  <c r="P85" i="2" s="1"/>
  <c r="Q85" i="2" s="1"/>
  <c r="W85" i="2"/>
  <c r="V82" i="2"/>
  <c r="W82" i="2"/>
  <c r="V75" i="2"/>
  <c r="X75" i="2" s="1"/>
  <c r="Y75" i="2" s="1"/>
  <c r="P75" i="2" s="1"/>
  <c r="Q75" i="2" s="1"/>
  <c r="W75" i="2"/>
  <c r="V74" i="2"/>
  <c r="X74" i="2" s="1"/>
  <c r="Y74" i="2" s="1"/>
  <c r="P74" i="2" s="1"/>
  <c r="Q74" i="2" s="1"/>
  <c r="W74" i="2"/>
  <c r="V73" i="2"/>
  <c r="X73" i="2" s="1"/>
  <c r="Y73" i="2" s="1"/>
  <c r="P73" i="2" s="1"/>
  <c r="Q73" i="2" s="1"/>
  <c r="W73" i="2"/>
  <c r="V66" i="2"/>
  <c r="X66" i="2" s="1"/>
  <c r="Y66" i="2" s="1"/>
  <c r="P66" i="2" s="1"/>
  <c r="Q66" i="2" s="1"/>
  <c r="W66" i="2"/>
  <c r="V62" i="2"/>
  <c r="W62" i="2"/>
  <c r="V61" i="2"/>
  <c r="X61" i="2" s="1"/>
  <c r="Y61" i="2" s="1"/>
  <c r="P61" i="2" s="1"/>
  <c r="Q61" i="2" s="1"/>
  <c r="W61" i="2"/>
  <c r="V48" i="2"/>
  <c r="W48" i="2"/>
  <c r="V35" i="2"/>
  <c r="X35" i="2" s="1"/>
  <c r="Y35" i="2" s="1"/>
  <c r="Q35" i="2" s="1"/>
  <c r="W35" i="2"/>
  <c r="V34" i="2"/>
  <c r="X34" i="2" s="1"/>
  <c r="Y34" i="2" s="1"/>
  <c r="P34" i="2" s="1"/>
  <c r="W34" i="2"/>
  <c r="V33" i="2"/>
  <c r="X33" i="2" s="1"/>
  <c r="Y33" i="2" s="1"/>
  <c r="P33" i="2" s="1"/>
  <c r="Q33" i="2" s="1"/>
  <c r="W33" i="2"/>
  <c r="V31" i="2"/>
  <c r="X31" i="2" s="1"/>
  <c r="Y31" i="2" s="1"/>
  <c r="Q31" i="2" s="1"/>
  <c r="W31" i="2"/>
  <c r="V30" i="2"/>
  <c r="W30" i="2"/>
  <c r="V29" i="2"/>
  <c r="X29" i="2" s="1"/>
  <c r="Y29" i="2" s="1"/>
  <c r="P29" i="2" s="1"/>
  <c r="Q29" i="2" s="1"/>
  <c r="W29" i="2"/>
  <c r="V27" i="2"/>
  <c r="W27" i="2"/>
  <c r="V26" i="2"/>
  <c r="X26" i="2" s="1"/>
  <c r="Y26" i="2" s="1"/>
  <c r="P26" i="2" s="1"/>
  <c r="Q26" i="2" s="1"/>
  <c r="W26" i="2"/>
  <c r="V24" i="2"/>
  <c r="X24" i="2" s="1"/>
  <c r="Y24" i="2" s="1"/>
  <c r="P24" i="2" s="1"/>
  <c r="Q24" i="2" s="1"/>
  <c r="W24" i="2"/>
  <c r="V22" i="2"/>
  <c r="W22" i="2"/>
  <c r="V18" i="2"/>
  <c r="W18" i="2"/>
  <c r="V20" i="2"/>
  <c r="X20" i="2" s="1"/>
  <c r="Y20" i="2" s="1"/>
  <c r="Q20" i="2" s="1"/>
  <c r="W20" i="2"/>
  <c r="V19" i="2"/>
  <c r="W19" i="2"/>
  <c r="V17" i="2"/>
  <c r="W17" i="2"/>
  <c r="V10" i="2"/>
  <c r="X10" i="2" s="1"/>
  <c r="Y10" i="2" s="1"/>
  <c r="P10" i="2" s="1"/>
  <c r="W10" i="2"/>
  <c r="V9" i="2"/>
  <c r="X9" i="2" s="1"/>
  <c r="Y9" i="2" s="1"/>
  <c r="W9" i="2"/>
  <c r="V8" i="2"/>
  <c r="X8" i="2" s="1"/>
  <c r="W8" i="2"/>
  <c r="X7" i="2"/>
  <c r="Y7" i="2" s="1"/>
  <c r="M7" i="2"/>
  <c r="M8" i="2" s="1"/>
  <c r="M9" i="2" s="1"/>
  <c r="M10" i="2" s="1"/>
  <c r="O7" i="2"/>
  <c r="X82" i="2" l="1"/>
  <c r="Y82" i="2" s="1"/>
  <c r="P82" i="2" s="1"/>
  <c r="Q82" i="2" s="1"/>
  <c r="X87" i="2"/>
  <c r="Y87" i="2" s="1"/>
  <c r="P87" i="2" s="1"/>
  <c r="Q87" i="2" s="1"/>
  <c r="X83" i="2"/>
  <c r="Y83" i="2" s="1"/>
  <c r="P83" i="2" s="1"/>
  <c r="Q83" i="2" s="1"/>
  <c r="X62" i="2"/>
  <c r="Y62" i="2" s="1"/>
  <c r="P62" i="2" s="1"/>
  <c r="Q62" i="2" s="1"/>
  <c r="X48" i="2"/>
  <c r="Y48" i="2" s="1"/>
  <c r="P48" i="2" s="1"/>
  <c r="Q48" i="2" s="1"/>
  <c r="Q34" i="2"/>
  <c r="X30" i="2"/>
  <c r="Y30" i="2" s="1"/>
  <c r="Q30" i="2" s="1"/>
  <c r="X27" i="2"/>
  <c r="Y27" i="2" s="1"/>
  <c r="Q27" i="2" s="1"/>
  <c r="X22" i="2"/>
  <c r="Y22" i="2" s="1"/>
  <c r="P22" i="2" s="1"/>
  <c r="Q22" i="2" s="1"/>
  <c r="X19" i="2"/>
  <c r="Y19" i="2" s="1"/>
  <c r="Q19" i="2" s="1"/>
  <c r="X18" i="2"/>
  <c r="Y18" i="2" s="1"/>
  <c r="Q18" i="2" s="1"/>
  <c r="X17" i="2"/>
  <c r="Y17" i="2" s="1"/>
  <c r="P17" i="2" s="1"/>
  <c r="Q17" i="2" s="1"/>
  <c r="O8" i="2"/>
  <c r="P7" i="2"/>
  <c r="Q7" i="2" s="1"/>
  <c r="Q8" i="2" l="1"/>
  <c r="O9" i="2"/>
  <c r="O10" i="2" l="1"/>
  <c r="Q10" i="2" s="1"/>
  <c r="Q9" i="2"/>
</calcChain>
</file>

<file path=xl/sharedStrings.xml><?xml version="1.0" encoding="utf-8"?>
<sst xmlns="http://schemas.openxmlformats.org/spreadsheetml/2006/main" count="388" uniqueCount="91">
  <si>
    <t>NOME</t>
  </si>
  <si>
    <t>SEÇÃO</t>
  </si>
  <si>
    <t>DIÂMETRO NOMINAL (mm)</t>
  </si>
  <si>
    <t>MATERIAL</t>
  </si>
  <si>
    <t>ESTRUTURA MONTANTE</t>
  </si>
  <si>
    <t>ESTRUTURA JUSANTE</t>
  </si>
  <si>
    <t>COTA MONTANTE (m)</t>
  </si>
  <si>
    <t>COTA JUSANTE (m)</t>
  </si>
  <si>
    <t>EXTENSÃO (m)</t>
  </si>
  <si>
    <t>DECLIVIDADE (%)</t>
  </si>
  <si>
    <t>Circular</t>
  </si>
  <si>
    <t>CONCRETO</t>
  </si>
  <si>
    <t>REDE: ATP-CECON-DREN-ESPLANADA DO TEATRO</t>
  </si>
  <si>
    <t>01</t>
  </si>
  <si>
    <t>02</t>
  </si>
  <si>
    <t>03</t>
  </si>
  <si>
    <t>04</t>
  </si>
  <si>
    <t>REDE: ATP-CECON-DREN-ESTACIONAMENTO</t>
  </si>
  <si>
    <t>05</t>
  </si>
  <si>
    <t>06</t>
  </si>
  <si>
    <t>07</t>
  </si>
  <si>
    <t>08</t>
  </si>
  <si>
    <t>CCS01-1</t>
  </si>
  <si>
    <t>CCS01-2</t>
  </si>
  <si>
    <t>CCS01-3</t>
  </si>
  <si>
    <t>CCS01-4</t>
  </si>
  <si>
    <t>BOCA BSTC Ø400mm-1</t>
  </si>
  <si>
    <t>BLC02-1</t>
  </si>
  <si>
    <t>BLC02-2</t>
  </si>
  <si>
    <t>BLC02-3</t>
  </si>
  <si>
    <t>BLC02-4</t>
  </si>
  <si>
    <t>PVI03-1</t>
  </si>
  <si>
    <t>BLC02-5</t>
  </si>
  <si>
    <t>BLS02-1</t>
  </si>
  <si>
    <t>BLS02-2</t>
  </si>
  <si>
    <t>BLS02-3</t>
  </si>
  <si>
    <t>BLS02-4</t>
  </si>
  <si>
    <t>PVI03-2</t>
  </si>
  <si>
    <t>CCS01-5</t>
  </si>
  <si>
    <t>BOCA BSTC Ø600mm-1</t>
  </si>
  <si>
    <t>BLC02-6</t>
  </si>
  <si>
    <t>BLC02-7</t>
  </si>
  <si>
    <t>REDE: ATP-CECON-DREN-RUAREITOR 01</t>
  </si>
  <si>
    <t>BLC02-8</t>
  </si>
  <si>
    <t>BLC02-9</t>
  </si>
  <si>
    <t>BLC02-10</t>
  </si>
  <si>
    <t>BLC02-11</t>
  </si>
  <si>
    <t>BLC02-12</t>
  </si>
  <si>
    <t>BLC02-13</t>
  </si>
  <si>
    <t>BLC02-14</t>
  </si>
  <si>
    <t>BLC02-15</t>
  </si>
  <si>
    <t>CCS01-6</t>
  </si>
  <si>
    <t>BOCA BSTC Ø600mm-2</t>
  </si>
  <si>
    <t>BLC02-16</t>
  </si>
  <si>
    <t>BLC02-17</t>
  </si>
  <si>
    <t>BLC02-18</t>
  </si>
  <si>
    <t>BLC02-19</t>
  </si>
  <si>
    <t>BLC02-20</t>
  </si>
  <si>
    <t>BOCA BSTC Ø600mm-3</t>
  </si>
  <si>
    <t>REDE: ATP-CECON-DREN-RUAREITOR 02</t>
  </si>
  <si>
    <t>REDE: ATP-CECON-DREN-RUAREITOR 03</t>
  </si>
  <si>
    <t>BLC02-21</t>
  </si>
  <si>
    <t>BLC02-22</t>
  </si>
  <si>
    <t>BLC02-23</t>
  </si>
  <si>
    <t>BLC02-24</t>
  </si>
  <si>
    <t>BLC02-25</t>
  </si>
  <si>
    <t>BLC02-26</t>
  </si>
  <si>
    <t>BLC02-27</t>
  </si>
  <si>
    <t>BLC02-28</t>
  </si>
  <si>
    <t>BLC02-29</t>
  </si>
  <si>
    <t>BOCA BSTC Ø800mm-1</t>
  </si>
  <si>
    <t>Ø 400,00</t>
  </si>
  <si>
    <t>Ø 600,00</t>
  </si>
  <si>
    <t>Ø 800,00</t>
  </si>
  <si>
    <t>Coef. de Imperm. ( C ):</t>
  </si>
  <si>
    <t>Int. Chuva (mm/h):</t>
  </si>
  <si>
    <t>VAZÃO (m³/s)</t>
  </si>
  <si>
    <t>ÁREA DA BACIA</t>
  </si>
  <si>
    <t>PARCIAL</t>
  </si>
  <si>
    <t>ACUMULADA</t>
  </si>
  <si>
    <t>CALCULADA</t>
  </si>
  <si>
    <t>OBS</t>
  </si>
  <si>
    <t>MÁXIMA</t>
  </si>
  <si>
    <t>Ø</t>
  </si>
  <si>
    <t>d</t>
  </si>
  <si>
    <t>D</t>
  </si>
  <si>
    <t>Am</t>
  </si>
  <si>
    <t>Pm</t>
  </si>
  <si>
    <t>Rh</t>
  </si>
  <si>
    <t>V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</si>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</sst>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1"/>
      <color theme="1"/>
      <name val="Verdana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Verdana"/>
      <family val="2"/>
    </font>
    <font>
      <sz val="12"/>
      <color theme="1"/>
      <name val="Symbol"/>
      <family val="1"/>
      <charset val="2"/>
    </font>
    <font>
      <sz val="12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1">
    <xf numFmtId="0" fontId="0" fillId="0" borderId="0" xfId="0"/>
    <xf numFmtId="0" fontId="0" fillId="0" borderId="0" xfId="0" applyAlignment="1">
      <alignment vertical="center"/>
    </xf>
    <xf numFmtId="0" fontId="19" fillId="0" borderId="10" xfId="0" applyFont="1" applyBorder="1" applyAlignment="1">
      <alignment horizontal="center" vertical="center" wrapText="1"/>
    </xf>
    <xf numFmtId="0" fontId="19" fillId="0" borderId="10" xfId="0" quotePrefix="1" applyFont="1" applyBorder="1" applyAlignment="1">
      <alignment horizontal="center" vertical="center" wrapText="1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8" xfId="0" applyBorder="1" applyAlignment="1">
      <alignment vertical="center"/>
    </xf>
    <xf numFmtId="0" fontId="21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164" fontId="0" fillId="0" borderId="0" xfId="0" applyNumberForma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64" fontId="0" fillId="0" borderId="20" xfId="0" applyNumberFormat="1" applyBorder="1" applyAlignment="1">
      <alignment vertical="center"/>
    </xf>
    <xf numFmtId="0" fontId="19" fillId="0" borderId="0" xfId="0" applyFont="1" applyBorder="1" applyAlignment="1">
      <alignment horizontal="center" vertical="center" wrapText="1"/>
    </xf>
    <xf numFmtId="164" fontId="19" fillId="0" borderId="0" xfId="0" applyNumberFormat="1" applyFont="1" applyBorder="1" applyAlignment="1">
      <alignment horizontal="center" vertical="center" wrapText="1"/>
    </xf>
    <xf numFmtId="0" fontId="19" fillId="0" borderId="0" xfId="0" quotePrefix="1" applyFont="1" applyBorder="1" applyAlignment="1">
      <alignment horizontal="center" vertical="center" wrapText="1"/>
    </xf>
    <xf numFmtId="164" fontId="0" fillId="0" borderId="15" xfId="0" applyNumberFormat="1" applyBorder="1" applyAlignment="1">
      <alignment vertical="center"/>
    </xf>
    <xf numFmtId="0" fontId="19" fillId="0" borderId="22" xfId="0" quotePrefix="1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164" fontId="19" fillId="0" borderId="22" xfId="0" applyNumberFormat="1" applyFont="1" applyBorder="1" applyAlignment="1">
      <alignment horizontal="center" vertical="center" wrapText="1"/>
    </xf>
    <xf numFmtId="0" fontId="22" fillId="0" borderId="17" xfId="0" applyFont="1" applyBorder="1" applyAlignment="1">
      <alignment vertical="center"/>
    </xf>
    <xf numFmtId="0" fontId="23" fillId="0" borderId="0" xfId="0" applyFont="1" applyBorder="1" applyAlignment="1">
      <alignment horizontal="center" vertical="center" wrapText="1"/>
    </xf>
    <xf numFmtId="0" fontId="22" fillId="0" borderId="18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164" fontId="19" fillId="0" borderId="10" xfId="0" applyNumberFormat="1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3" fillId="0" borderId="0" xfId="0" quotePrefix="1" applyFont="1" applyBorder="1" applyAlignment="1">
      <alignment horizontal="left" vertical="center"/>
    </xf>
    <xf numFmtId="164" fontId="23" fillId="0" borderId="0" xfId="0" applyNumberFormat="1" applyFont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24" fillId="0" borderId="0" xfId="0" applyFont="1" applyAlignment="1">
      <alignment horizontal="justify" vertical="center"/>
    </xf>
    <xf numFmtId="0" fontId="25" fillId="0" borderId="0" xfId="0" applyFont="1" applyAlignment="1">
      <alignment horizontal="justify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24" fillId="0" borderId="0" xfId="0" applyNumberFormat="1" applyFont="1" applyAlignment="1">
      <alignment horizontal="center" vertical="center"/>
    </xf>
    <xf numFmtId="164" fontId="20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164" fontId="20" fillId="0" borderId="0" xfId="0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Neutra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666750</xdr:colOff>
      <xdr:row>18</xdr:row>
      <xdr:rowOff>340178</xdr:rowOff>
    </xdr:from>
    <xdr:to>
      <xdr:col>14</xdr:col>
      <xdr:colOff>272143</xdr:colOff>
      <xdr:row>21</xdr:row>
      <xdr:rowOff>122465</xdr:rowOff>
    </xdr:to>
    <xdr:cxnSp macro="">
      <xdr:nvCxnSpPr>
        <xdr:cNvPr id="3" name="Conector de Seta Reta 2">
          <a:extLst>
            <a:ext uri="{FF2B5EF4-FFF2-40B4-BE49-F238E27FC236}">
              <a16:creationId xmlns:a16="http://schemas.microsoft.com/office/drawing/2014/main" id="{639FBD17-C0A7-455D-AB21-6BF3A333A2E0}"/>
            </a:ext>
          </a:extLst>
        </xdr:cNvPr>
        <xdr:cNvCxnSpPr/>
      </xdr:nvCxnSpPr>
      <xdr:spPr>
        <a:xfrm flipV="1">
          <a:off x="12355286" y="5633357"/>
          <a:ext cx="612321" cy="89807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707571</xdr:colOff>
      <xdr:row>19</xdr:row>
      <xdr:rowOff>381001</xdr:rowOff>
    </xdr:from>
    <xdr:to>
      <xdr:col>14</xdr:col>
      <xdr:colOff>381000</xdr:colOff>
      <xdr:row>23</xdr:row>
      <xdr:rowOff>54429</xdr:rowOff>
    </xdr:to>
    <xdr:cxnSp macro="">
      <xdr:nvCxnSpPr>
        <xdr:cNvPr id="5" name="Conector de Seta Reta 4">
          <a:extLst>
            <a:ext uri="{FF2B5EF4-FFF2-40B4-BE49-F238E27FC236}">
              <a16:creationId xmlns:a16="http://schemas.microsoft.com/office/drawing/2014/main" id="{EA2F4E44-CF4A-4D17-826D-E69493163B09}"/>
            </a:ext>
          </a:extLst>
        </xdr:cNvPr>
        <xdr:cNvCxnSpPr/>
      </xdr:nvCxnSpPr>
      <xdr:spPr>
        <a:xfrm flipV="1">
          <a:off x="12396107" y="6109608"/>
          <a:ext cx="680357" cy="103414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979713</xdr:colOff>
      <xdr:row>26</xdr:row>
      <xdr:rowOff>258536</xdr:rowOff>
    </xdr:from>
    <xdr:to>
      <xdr:col>14</xdr:col>
      <xdr:colOff>979713</xdr:colOff>
      <xdr:row>33</xdr:row>
      <xdr:rowOff>285750</xdr:rowOff>
    </xdr:to>
    <xdr:cxnSp macro="">
      <xdr:nvCxnSpPr>
        <xdr:cNvPr id="8" name="Conector de Seta Reta 7">
          <a:extLst>
            <a:ext uri="{FF2B5EF4-FFF2-40B4-BE49-F238E27FC236}">
              <a16:creationId xmlns:a16="http://schemas.microsoft.com/office/drawing/2014/main" id="{789B4ED8-0036-40EB-B59C-5F09AC8F067B}"/>
            </a:ext>
          </a:extLst>
        </xdr:cNvPr>
        <xdr:cNvCxnSpPr/>
      </xdr:nvCxnSpPr>
      <xdr:spPr>
        <a:xfrm>
          <a:off x="15552963" y="8463643"/>
          <a:ext cx="0" cy="269421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163286</xdr:colOff>
      <xdr:row>30</xdr:row>
      <xdr:rowOff>231322</xdr:rowOff>
    </xdr:from>
    <xdr:to>
      <xdr:col>14</xdr:col>
      <xdr:colOff>163286</xdr:colOff>
      <xdr:row>34</xdr:row>
      <xdr:rowOff>217714</xdr:rowOff>
    </xdr:to>
    <xdr:cxnSp macro="">
      <xdr:nvCxnSpPr>
        <xdr:cNvPr id="13" name="Conector de Seta Reta 12">
          <a:extLst>
            <a:ext uri="{FF2B5EF4-FFF2-40B4-BE49-F238E27FC236}">
              <a16:creationId xmlns:a16="http://schemas.microsoft.com/office/drawing/2014/main" id="{69CF3AA5-8C8C-4BCA-81C1-D955BD3C5B1F}"/>
            </a:ext>
          </a:extLst>
        </xdr:cNvPr>
        <xdr:cNvCxnSpPr/>
      </xdr:nvCxnSpPr>
      <xdr:spPr>
        <a:xfrm>
          <a:off x="12858750" y="9987643"/>
          <a:ext cx="0" cy="15376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1142998</xdr:colOff>
      <xdr:row>19</xdr:row>
      <xdr:rowOff>231322</xdr:rowOff>
    </xdr:from>
    <xdr:to>
      <xdr:col>14</xdr:col>
      <xdr:colOff>1142998</xdr:colOff>
      <xdr:row>34</xdr:row>
      <xdr:rowOff>244928</xdr:rowOff>
    </xdr:to>
    <xdr:cxnSp macro="">
      <xdr:nvCxnSpPr>
        <xdr:cNvPr id="19" name="Conector de Seta Reta 18">
          <a:extLst>
            <a:ext uri="{FF2B5EF4-FFF2-40B4-BE49-F238E27FC236}">
              <a16:creationId xmlns:a16="http://schemas.microsoft.com/office/drawing/2014/main" id="{D265EBA3-2B4E-41C3-BD9F-6BBE2C2DB5A6}"/>
            </a:ext>
          </a:extLst>
        </xdr:cNvPr>
        <xdr:cNvCxnSpPr/>
      </xdr:nvCxnSpPr>
      <xdr:spPr>
        <a:xfrm>
          <a:off x="15716248" y="5959929"/>
          <a:ext cx="0" cy="559253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870857</xdr:colOff>
      <xdr:row>74</xdr:row>
      <xdr:rowOff>217715</xdr:rowOff>
    </xdr:from>
    <xdr:to>
      <xdr:col>14</xdr:col>
      <xdr:colOff>870857</xdr:colOff>
      <xdr:row>86</xdr:row>
      <xdr:rowOff>312964</xdr:rowOff>
    </xdr:to>
    <xdr:cxnSp macro="">
      <xdr:nvCxnSpPr>
        <xdr:cNvPr id="23" name="Conector de Seta Reta 22">
          <a:extLst>
            <a:ext uri="{FF2B5EF4-FFF2-40B4-BE49-F238E27FC236}">
              <a16:creationId xmlns:a16="http://schemas.microsoft.com/office/drawing/2014/main" id="{9CB7919E-1B23-403A-8788-2A414D8278C5}"/>
            </a:ext>
          </a:extLst>
        </xdr:cNvPr>
        <xdr:cNvCxnSpPr/>
      </xdr:nvCxnSpPr>
      <xdr:spPr>
        <a:xfrm>
          <a:off x="13566321" y="25962429"/>
          <a:ext cx="0" cy="655864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7"/>
  <sheetViews>
    <sheetView showGridLines="0" tabSelected="1" view="pageBreakPreview" topLeftCell="F13" zoomScale="70" zoomScaleNormal="70" zoomScaleSheetLayoutView="70" workbookViewId="0">
      <selection activeCell="P28" sqref="P28"/>
    </sheetView>
  </sheetViews>
  <sheetFormatPr defaultRowHeight="15" x14ac:dyDescent="0.25"/>
  <cols>
    <col min="1" max="1" width="3.5703125" style="1" customWidth="1"/>
    <col min="2" max="2" width="10.7109375" style="1" customWidth="1"/>
    <col min="3" max="3" width="16.7109375" style="1" customWidth="1"/>
    <col min="4" max="4" width="14.42578125" style="1" customWidth="1"/>
    <col min="5" max="5" width="14" style="1" bestFit="1" customWidth="1"/>
    <col min="6" max="7" width="15.85546875" style="1" customWidth="1"/>
    <col min="8" max="11" width="17.42578125" style="1" customWidth="1"/>
    <col min="12" max="16" width="19.140625" style="1" customWidth="1"/>
    <col min="17" max="17" width="25.140625" style="1" customWidth="1"/>
    <col min="18" max="18" width="5.85546875" style="1" customWidth="1"/>
    <col min="19" max="21" width="9.140625" style="1"/>
    <col min="22" max="23" width="20.42578125" style="1" customWidth="1"/>
    <col min="24" max="16384" width="9.140625" style="1"/>
  </cols>
  <sheetData>
    <row r="1" spans="1:26" x14ac:dyDescent="0.25">
      <c r="A1" s="4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6"/>
    </row>
    <row r="2" spans="1:26" x14ac:dyDescent="0.25">
      <c r="A2" s="7"/>
      <c r="B2" s="10" t="s">
        <v>12</v>
      </c>
      <c r="C2" s="8"/>
      <c r="D2" s="8"/>
      <c r="E2" s="8"/>
      <c r="F2" s="8"/>
      <c r="G2" s="8"/>
      <c r="H2" s="8"/>
      <c r="I2" s="8"/>
      <c r="J2" s="34"/>
      <c r="K2" s="33"/>
      <c r="L2" s="8"/>
      <c r="M2" s="34" t="s">
        <v>75</v>
      </c>
      <c r="N2" s="33">
        <v>122</v>
      </c>
      <c r="O2" s="34"/>
      <c r="P2" s="34" t="s">
        <v>74</v>
      </c>
      <c r="Q2" s="33">
        <v>0.9</v>
      </c>
      <c r="R2" s="9"/>
    </row>
    <row r="3" spans="1:26" x14ac:dyDescent="0.25">
      <c r="A3" s="7"/>
      <c r="B3" s="11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9"/>
    </row>
    <row r="4" spans="1:26" ht="15" customHeight="1" x14ac:dyDescent="0.25">
      <c r="A4" s="7"/>
      <c r="B4" s="50" t="s">
        <v>0</v>
      </c>
      <c r="C4" s="50" t="s">
        <v>1</v>
      </c>
      <c r="D4" s="50" t="s">
        <v>2</v>
      </c>
      <c r="E4" s="50" t="s">
        <v>3</v>
      </c>
      <c r="F4" s="45" t="s">
        <v>4</v>
      </c>
      <c r="G4" s="45" t="s">
        <v>5</v>
      </c>
      <c r="H4" s="50" t="s">
        <v>6</v>
      </c>
      <c r="I4" s="50" t="s">
        <v>7</v>
      </c>
      <c r="J4" s="45" t="s">
        <v>8</v>
      </c>
      <c r="K4" s="50" t="s">
        <v>9</v>
      </c>
      <c r="L4" s="50" t="s">
        <v>77</v>
      </c>
      <c r="M4" s="50"/>
      <c r="N4" s="42" t="s">
        <v>76</v>
      </c>
      <c r="O4" s="43"/>
      <c r="P4" s="44"/>
      <c r="Q4" s="50" t="s">
        <v>81</v>
      </c>
      <c r="R4" s="9"/>
    </row>
    <row r="5" spans="1:26" ht="15" customHeight="1" x14ac:dyDescent="0.25">
      <c r="A5" s="7"/>
      <c r="B5" s="50"/>
      <c r="C5" s="50"/>
      <c r="D5" s="50"/>
      <c r="E5" s="50"/>
      <c r="F5" s="47"/>
      <c r="G5" s="47"/>
      <c r="H5" s="50"/>
      <c r="I5" s="50"/>
      <c r="J5" s="47"/>
      <c r="K5" s="50"/>
      <c r="L5" s="50" t="s">
        <v>78</v>
      </c>
      <c r="M5" s="50" t="s">
        <v>79</v>
      </c>
      <c r="N5" s="42" t="s">
        <v>80</v>
      </c>
      <c r="O5" s="44"/>
      <c r="P5" s="45" t="s">
        <v>82</v>
      </c>
      <c r="Q5" s="50"/>
      <c r="R5" s="9"/>
    </row>
    <row r="6" spans="1:26" s="38" customFormat="1" x14ac:dyDescent="0.25">
      <c r="A6" s="7"/>
      <c r="B6" s="50"/>
      <c r="C6" s="50"/>
      <c r="D6" s="50"/>
      <c r="E6" s="50"/>
      <c r="F6" s="46"/>
      <c r="G6" s="46"/>
      <c r="H6" s="50"/>
      <c r="I6" s="50"/>
      <c r="J6" s="46"/>
      <c r="K6" s="50"/>
      <c r="L6" s="50"/>
      <c r="M6" s="50"/>
      <c r="N6" s="30" t="s">
        <v>78</v>
      </c>
      <c r="O6" s="30" t="s">
        <v>79</v>
      </c>
      <c r="P6" s="46"/>
      <c r="Q6" s="50"/>
      <c r="R6" s="9"/>
      <c r="S6" s="38" t="s">
        <v>85</v>
      </c>
      <c r="T6" s="38" t="s">
        <v>84</v>
      </c>
      <c r="U6" s="38" t="s">
        <v>83</v>
      </c>
      <c r="V6" s="38" t="s">
        <v>86</v>
      </c>
      <c r="W6" s="38" t="s">
        <v>87</v>
      </c>
      <c r="X6" s="38" t="s">
        <v>88</v>
      </c>
      <c r="Y6" s="38" t="s">
        <v>89</v>
      </c>
      <c r="Z6" s="38" t="s">
        <v>90</v>
      </c>
    </row>
    <row r="7" spans="1:26" s="38" customFormat="1" ht="42" customHeight="1" x14ac:dyDescent="0.25">
      <c r="A7" s="7"/>
      <c r="B7" s="3" t="s">
        <v>13</v>
      </c>
      <c r="C7" s="2" t="s">
        <v>10</v>
      </c>
      <c r="D7" s="2" t="s">
        <v>71</v>
      </c>
      <c r="E7" s="2" t="s">
        <v>11</v>
      </c>
      <c r="F7" s="29" t="s">
        <v>22</v>
      </c>
      <c r="G7" s="29" t="s">
        <v>23</v>
      </c>
      <c r="H7" s="29">
        <v>-6.5</v>
      </c>
      <c r="I7" s="29">
        <v>-6.55</v>
      </c>
      <c r="J7" s="29">
        <v>7.54</v>
      </c>
      <c r="K7" s="29">
        <v>0.66</v>
      </c>
      <c r="L7" s="29">
        <v>0.5</v>
      </c>
      <c r="M7" s="29">
        <f>L7</f>
        <v>0.5</v>
      </c>
      <c r="N7" s="29">
        <f>($Q$2*$N$2*L7)/360</f>
        <v>0.1525</v>
      </c>
      <c r="O7" s="29">
        <f>N7</f>
        <v>0.1525</v>
      </c>
      <c r="P7" s="29">
        <f>Y7*Z7</f>
        <v>0.19177100836880859</v>
      </c>
      <c r="Q7" s="29" t="str">
        <f>IF(P7&gt;O7,"Ok!","Aumentar D")</f>
        <v>Ok!</v>
      </c>
      <c r="R7" s="9"/>
      <c r="S7" s="38">
        <f>IF(D7="Ø 400,00",0.4,IF(D7="Ø 600,00",0.6,IF(D7="Ø 800,00",0.8)))</f>
        <v>0.4</v>
      </c>
      <c r="T7" s="38">
        <f>S7*0.75</f>
        <v>0.30000000000000004</v>
      </c>
      <c r="U7" s="37">
        <f>(2*ACOS((1-(2*T7)/S7)))</f>
        <v>4.1887902047863914</v>
      </c>
      <c r="V7" s="39">
        <f>((U7-SIN(U7))/8)*S7^2</f>
        <v>0.10109631217141664</v>
      </c>
      <c r="W7" s="39">
        <f>(U7/2)*S7</f>
        <v>0.83775804095727835</v>
      </c>
      <c r="X7" s="37">
        <f>V7/W7</f>
        <v>0.12067483357831724</v>
      </c>
      <c r="Y7" s="37">
        <f>1/0.013*X7^(2/3)*(K7/100)^(1/2)</f>
        <v>1.5260651961806557</v>
      </c>
      <c r="Z7" s="37">
        <f>PI()*(S7/2)^2</f>
        <v>0.12566370614359174</v>
      </c>
    </row>
    <row r="8" spans="1:26" ht="42" customHeight="1" x14ac:dyDescent="0.25">
      <c r="A8" s="7"/>
      <c r="B8" s="3" t="s">
        <v>14</v>
      </c>
      <c r="C8" s="2" t="s">
        <v>10</v>
      </c>
      <c r="D8" s="2" t="s">
        <v>71</v>
      </c>
      <c r="E8" s="2" t="s">
        <v>11</v>
      </c>
      <c r="F8" s="29" t="s">
        <v>23</v>
      </c>
      <c r="G8" s="29" t="s">
        <v>24</v>
      </c>
      <c r="H8" s="29">
        <v>-6.55</v>
      </c>
      <c r="I8" s="29">
        <v>-6.6</v>
      </c>
      <c r="J8" s="29">
        <v>12.34</v>
      </c>
      <c r="K8" s="29">
        <v>0.55000000000000004</v>
      </c>
      <c r="L8" s="29">
        <v>0.05</v>
      </c>
      <c r="M8" s="29">
        <f>L8+M7</f>
        <v>0.55000000000000004</v>
      </c>
      <c r="N8" s="29">
        <f t="shared" ref="N8:N10" si="0">($Q$2*$N$2*L8)/360</f>
        <v>1.5250000000000001E-2</v>
      </c>
      <c r="O8" s="29">
        <f>N8+O7</f>
        <v>0.16775000000000001</v>
      </c>
      <c r="P8" s="29">
        <f t="shared" ref="P8:P10" si="1">Y8*Z8</f>
        <v>0.17506217859851408</v>
      </c>
      <c r="Q8" s="29" t="str">
        <f t="shared" ref="Q8:Q10" si="2">IF(P8&gt;O8,"Ok!","Aumentar D")</f>
        <v>Ok!</v>
      </c>
      <c r="R8" s="9"/>
      <c r="S8" s="38">
        <f t="shared" ref="S8:S10" si="3">IF(D8="Ø 400,00",0.4,IF(D8="Ø 600,00",0.6,IF(D8="Ø 800,00",0.8)))</f>
        <v>0.4</v>
      </c>
      <c r="T8" s="38">
        <f t="shared" ref="T8:T10" si="4">S8*0.75</f>
        <v>0.30000000000000004</v>
      </c>
      <c r="U8" s="37">
        <f t="shared" ref="U8:U10" si="5">(2*ACOS((1-(2*T8)/S8)))</f>
        <v>4.1887902047863914</v>
      </c>
      <c r="V8" s="39">
        <f t="shared" ref="V8:V10" si="6">((U8-SIN(U8))/8)*S8^2</f>
        <v>0.10109631217141664</v>
      </c>
      <c r="W8" s="39">
        <f t="shared" ref="W8:W10" si="7">(U8/2)*S8</f>
        <v>0.83775804095727835</v>
      </c>
      <c r="X8" s="37">
        <f t="shared" ref="X8:X10" si="8">V8/W8</f>
        <v>0.12067483357831724</v>
      </c>
      <c r="Y8" s="37">
        <f>1/0.013*X8^(2/3)*(K8/100)^(1/2)</f>
        <v>1.3931005536194863</v>
      </c>
      <c r="Z8" s="37">
        <f t="shared" ref="Z8:Z10" si="9">PI()*(S8/2)^2</f>
        <v>0.12566370614359174</v>
      </c>
    </row>
    <row r="9" spans="1:26" ht="42" customHeight="1" x14ac:dyDescent="0.25">
      <c r="A9" s="7"/>
      <c r="B9" s="3" t="s">
        <v>15</v>
      </c>
      <c r="C9" s="2" t="s">
        <v>10</v>
      </c>
      <c r="D9" s="2" t="s">
        <v>71</v>
      </c>
      <c r="E9" s="2" t="s">
        <v>11</v>
      </c>
      <c r="F9" s="29" t="s">
        <v>24</v>
      </c>
      <c r="G9" s="29" t="s">
        <v>25</v>
      </c>
      <c r="H9" s="29">
        <v>-6.6</v>
      </c>
      <c r="I9" s="29">
        <v>-6.7</v>
      </c>
      <c r="J9" s="29">
        <v>14.61</v>
      </c>
      <c r="K9" s="29">
        <v>0.68</v>
      </c>
      <c r="L9" s="29">
        <v>0.05</v>
      </c>
      <c r="M9" s="29">
        <f t="shared" ref="M9:M10" si="10">L9+M8</f>
        <v>0.60000000000000009</v>
      </c>
      <c r="N9" s="29">
        <f t="shared" si="0"/>
        <v>1.5250000000000001E-2</v>
      </c>
      <c r="O9" s="29">
        <f t="shared" ref="O9:O10" si="11">N9+O8</f>
        <v>0.18300000000000002</v>
      </c>
      <c r="P9" s="29">
        <f t="shared" si="1"/>
        <v>0.19465494475865597</v>
      </c>
      <c r="Q9" s="29" t="str">
        <f t="shared" si="2"/>
        <v>Ok!</v>
      </c>
      <c r="R9" s="9"/>
      <c r="S9" s="38">
        <f t="shared" si="3"/>
        <v>0.4</v>
      </c>
      <c r="T9" s="38">
        <f t="shared" si="4"/>
        <v>0.30000000000000004</v>
      </c>
      <c r="U9" s="37">
        <f t="shared" si="5"/>
        <v>4.1887902047863914</v>
      </c>
      <c r="V9" s="39">
        <f t="shared" si="6"/>
        <v>0.10109631217141664</v>
      </c>
      <c r="W9" s="39">
        <f t="shared" si="7"/>
        <v>0.83775804095727835</v>
      </c>
      <c r="X9" s="37">
        <f t="shared" si="8"/>
        <v>0.12067483357831724</v>
      </c>
      <c r="Y9" s="37">
        <f t="shared" ref="Y9:Y10" si="12">1/0.013*X9^(2/3)*(K9/100)^(1/2)</f>
        <v>1.5490148327809961</v>
      </c>
      <c r="Z9" s="37">
        <f t="shared" si="9"/>
        <v>0.12566370614359174</v>
      </c>
    </row>
    <row r="10" spans="1:26" ht="42" customHeight="1" x14ac:dyDescent="0.25">
      <c r="A10" s="7"/>
      <c r="B10" s="3" t="s">
        <v>16</v>
      </c>
      <c r="C10" s="2" t="s">
        <v>10</v>
      </c>
      <c r="D10" s="2" t="s">
        <v>71</v>
      </c>
      <c r="E10" s="2" t="s">
        <v>11</v>
      </c>
      <c r="F10" s="29" t="s">
        <v>25</v>
      </c>
      <c r="G10" s="29" t="s">
        <v>26</v>
      </c>
      <c r="H10" s="29">
        <v>-7.1</v>
      </c>
      <c r="I10" s="29">
        <v>-7.22</v>
      </c>
      <c r="J10" s="29">
        <v>23.97</v>
      </c>
      <c r="K10" s="29">
        <v>0.75</v>
      </c>
      <c r="L10" s="29">
        <v>0</v>
      </c>
      <c r="M10" s="29">
        <f t="shared" si="10"/>
        <v>0.60000000000000009</v>
      </c>
      <c r="N10" s="29">
        <f t="shared" si="0"/>
        <v>0</v>
      </c>
      <c r="O10" s="29">
        <f t="shared" si="11"/>
        <v>0.18300000000000002</v>
      </c>
      <c r="P10" s="29">
        <f t="shared" si="1"/>
        <v>0.20442858180233878</v>
      </c>
      <c r="Q10" s="29" t="str">
        <f t="shared" si="2"/>
        <v>Ok!</v>
      </c>
      <c r="R10" s="9"/>
      <c r="S10" s="38">
        <f t="shared" si="3"/>
        <v>0.4</v>
      </c>
      <c r="T10" s="38">
        <f t="shared" si="4"/>
        <v>0.30000000000000004</v>
      </c>
      <c r="U10" s="37">
        <f t="shared" si="5"/>
        <v>4.1887902047863914</v>
      </c>
      <c r="V10" s="39">
        <f t="shared" si="6"/>
        <v>0.10109631217141664</v>
      </c>
      <c r="W10" s="39">
        <f t="shared" si="7"/>
        <v>0.83775804095727835</v>
      </c>
      <c r="X10" s="37">
        <f t="shared" si="8"/>
        <v>0.12067483357831724</v>
      </c>
      <c r="Y10" s="37">
        <f t="shared" si="12"/>
        <v>1.6267909651554049</v>
      </c>
      <c r="Z10" s="37">
        <f t="shared" si="9"/>
        <v>0.12566370614359174</v>
      </c>
    </row>
    <row r="11" spans="1:26" x14ac:dyDescent="0.25">
      <c r="A11" s="7"/>
      <c r="B11" s="8"/>
      <c r="C11" s="8"/>
      <c r="D11" s="8"/>
      <c r="E11" s="8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9"/>
      <c r="V11" s="36"/>
      <c r="W11" s="36"/>
    </row>
    <row r="12" spans="1:26" ht="15.75" x14ac:dyDescent="0.25">
      <c r="A12" s="7"/>
      <c r="B12" s="10" t="s">
        <v>17</v>
      </c>
      <c r="C12" s="8"/>
      <c r="D12" s="8"/>
      <c r="E12" s="8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9"/>
      <c r="V12" s="35"/>
      <c r="W12" s="35"/>
    </row>
    <row r="13" spans="1:26" x14ac:dyDescent="0.25">
      <c r="A13" s="7"/>
      <c r="B13" s="11"/>
      <c r="C13" s="8"/>
      <c r="D13" s="8"/>
      <c r="E13" s="8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9"/>
    </row>
    <row r="14" spans="1:26" ht="15" customHeight="1" x14ac:dyDescent="0.25">
      <c r="A14" s="7"/>
      <c r="B14" s="50" t="s">
        <v>0</v>
      </c>
      <c r="C14" s="50" t="s">
        <v>1</v>
      </c>
      <c r="D14" s="50" t="s">
        <v>2</v>
      </c>
      <c r="E14" s="50" t="s">
        <v>3</v>
      </c>
      <c r="F14" s="45" t="s">
        <v>4</v>
      </c>
      <c r="G14" s="45" t="s">
        <v>5</v>
      </c>
      <c r="H14" s="50" t="s">
        <v>6</v>
      </c>
      <c r="I14" s="50" t="s">
        <v>7</v>
      </c>
      <c r="J14" s="45" t="s">
        <v>8</v>
      </c>
      <c r="K14" s="50" t="s">
        <v>9</v>
      </c>
      <c r="L14" s="50" t="s">
        <v>77</v>
      </c>
      <c r="M14" s="50"/>
      <c r="N14" s="42" t="s">
        <v>76</v>
      </c>
      <c r="O14" s="43"/>
      <c r="P14" s="44"/>
      <c r="Q14" s="50" t="s">
        <v>81</v>
      </c>
      <c r="R14" s="9"/>
    </row>
    <row r="15" spans="1:26" ht="15" customHeight="1" x14ac:dyDescent="0.25">
      <c r="A15" s="7"/>
      <c r="B15" s="50"/>
      <c r="C15" s="50"/>
      <c r="D15" s="50"/>
      <c r="E15" s="50"/>
      <c r="F15" s="47"/>
      <c r="G15" s="47"/>
      <c r="H15" s="50"/>
      <c r="I15" s="50"/>
      <c r="J15" s="47"/>
      <c r="K15" s="50"/>
      <c r="L15" s="50" t="s">
        <v>78</v>
      </c>
      <c r="M15" s="50" t="s">
        <v>79</v>
      </c>
      <c r="N15" s="42" t="s">
        <v>80</v>
      </c>
      <c r="O15" s="44"/>
      <c r="P15" s="45" t="s">
        <v>82</v>
      </c>
      <c r="Q15" s="50"/>
      <c r="R15" s="9"/>
    </row>
    <row r="16" spans="1:26" s="38" customFormat="1" x14ac:dyDescent="0.25">
      <c r="A16" s="7"/>
      <c r="B16" s="50"/>
      <c r="C16" s="50"/>
      <c r="D16" s="50"/>
      <c r="E16" s="50"/>
      <c r="F16" s="46"/>
      <c r="G16" s="46"/>
      <c r="H16" s="50"/>
      <c r="I16" s="50"/>
      <c r="J16" s="46"/>
      <c r="K16" s="50"/>
      <c r="L16" s="50"/>
      <c r="M16" s="50"/>
      <c r="N16" s="30" t="s">
        <v>78</v>
      </c>
      <c r="O16" s="30" t="s">
        <v>79</v>
      </c>
      <c r="P16" s="46"/>
      <c r="Q16" s="50"/>
      <c r="R16" s="9"/>
      <c r="S16" s="38" t="s">
        <v>85</v>
      </c>
      <c r="T16" s="38" t="s">
        <v>84</v>
      </c>
      <c r="U16" s="38" t="s">
        <v>83</v>
      </c>
      <c r="V16" s="38" t="s">
        <v>86</v>
      </c>
      <c r="W16" s="38" t="s">
        <v>87</v>
      </c>
      <c r="X16" s="38" t="s">
        <v>88</v>
      </c>
      <c r="Y16" s="38" t="s">
        <v>89</v>
      </c>
      <c r="Z16" s="38" t="s">
        <v>90</v>
      </c>
    </row>
    <row r="17" spans="1:26" ht="35.1" customHeight="1" x14ac:dyDescent="0.25">
      <c r="A17" s="7"/>
      <c r="B17" s="3" t="s">
        <v>13</v>
      </c>
      <c r="C17" s="2" t="s">
        <v>10</v>
      </c>
      <c r="D17" s="2" t="s">
        <v>71</v>
      </c>
      <c r="E17" s="2" t="s">
        <v>11</v>
      </c>
      <c r="F17" s="29" t="s">
        <v>27</v>
      </c>
      <c r="G17" s="29" t="s">
        <v>28</v>
      </c>
      <c r="H17" s="29">
        <v>-5.75</v>
      </c>
      <c r="I17" s="29">
        <v>-5.85</v>
      </c>
      <c r="J17" s="29">
        <v>23.16</v>
      </c>
      <c r="K17" s="29">
        <v>0.43</v>
      </c>
      <c r="L17" s="29">
        <v>9.1999999999999998E-2</v>
      </c>
      <c r="M17" s="29">
        <f>L17</f>
        <v>9.1999999999999998E-2</v>
      </c>
      <c r="N17" s="29">
        <f>($Q$2*$N$2*L17)/360</f>
        <v>2.8059999999999998E-2</v>
      </c>
      <c r="O17" s="29">
        <f>N17</f>
        <v>2.8059999999999998E-2</v>
      </c>
      <c r="P17" s="29">
        <f>Y17*Z17</f>
        <v>0.15479082390898874</v>
      </c>
      <c r="Q17" s="29" t="str">
        <f>IF(P17&gt;O17,"Ok!","Aumentar D")</f>
        <v>Ok!</v>
      </c>
      <c r="R17" s="9"/>
      <c r="S17" s="38">
        <f>IF(D17="Ø 400,00",0.4,IF(D17="Ø 600,00",0.6,IF(D17="Ø 800,00",0.8)))</f>
        <v>0.4</v>
      </c>
      <c r="T17" s="38">
        <f>S17*0.75</f>
        <v>0.30000000000000004</v>
      </c>
      <c r="U17" s="37">
        <f>(2*ACOS((1-(2*T17)/S17)))</f>
        <v>4.1887902047863914</v>
      </c>
      <c r="V17" s="39">
        <f>((U17-SIN(U17))/8)*S17^2</f>
        <v>0.10109631217141664</v>
      </c>
      <c r="W17" s="39">
        <f>(U17/2)*S17</f>
        <v>0.83775804095727835</v>
      </c>
      <c r="X17" s="37">
        <f>V17/W17</f>
        <v>0.12067483357831724</v>
      </c>
      <c r="Y17" s="37">
        <f>1/0.013*X17^(2/3)*(K17/100)^(1/2)</f>
        <v>1.2317862385191347</v>
      </c>
      <c r="Z17" s="37">
        <f>PI()*(S17/2)^2</f>
        <v>0.12566370614359174</v>
      </c>
    </row>
    <row r="18" spans="1:26" ht="35.1" customHeight="1" x14ac:dyDescent="0.25">
      <c r="A18" s="7"/>
      <c r="B18" s="3" t="s">
        <v>14</v>
      </c>
      <c r="C18" s="2" t="s">
        <v>10</v>
      </c>
      <c r="D18" s="2" t="s">
        <v>71</v>
      </c>
      <c r="E18" s="2" t="s">
        <v>11</v>
      </c>
      <c r="F18" s="29" t="s">
        <v>28</v>
      </c>
      <c r="G18" s="29" t="s">
        <v>29</v>
      </c>
      <c r="H18" s="29">
        <v>-5.85</v>
      </c>
      <c r="I18" s="29">
        <v>-5.97</v>
      </c>
      <c r="J18" s="29">
        <v>25.8</v>
      </c>
      <c r="K18" s="29">
        <v>0.47</v>
      </c>
      <c r="L18" s="29">
        <v>0.1</v>
      </c>
      <c r="M18" s="29">
        <f>M17+L18</f>
        <v>0.192</v>
      </c>
      <c r="N18" s="29">
        <f t="shared" ref="N18:N20" si="13">($Q$2*$N$2*L18)/360</f>
        <v>3.0500000000000003E-2</v>
      </c>
      <c r="O18" s="29">
        <f>N18+O17</f>
        <v>5.8560000000000001E-2</v>
      </c>
      <c r="P18" s="29">
        <f t="shared" ref="P18:P20" si="14">Y18*Z18</f>
        <v>0.16183032751259901</v>
      </c>
      <c r="Q18" s="29" t="str">
        <f t="shared" ref="Q18:Q20" si="15">IF(P18&gt;O18,"Ok!","Aumentar D")</f>
        <v>Ok!</v>
      </c>
      <c r="R18" s="9"/>
      <c r="S18" s="38">
        <f t="shared" ref="S18:S20" si="16">IF(D18="Ø 400,00",0.4,IF(D18="Ø 600,00",0.6,IF(D18="Ø 800,00",0.8)))</f>
        <v>0.4</v>
      </c>
      <c r="T18" s="38">
        <f t="shared" ref="T18:T20" si="17">S18*0.75</f>
        <v>0.30000000000000004</v>
      </c>
      <c r="U18" s="37">
        <f t="shared" ref="U18:U20" si="18">(2*ACOS((1-(2*T18)/S18)))</f>
        <v>4.1887902047863914</v>
      </c>
      <c r="V18" s="39">
        <f t="shared" ref="V18:V20" si="19">((U18-SIN(U18))/8)*S18^2</f>
        <v>0.10109631217141664</v>
      </c>
      <c r="W18" s="39">
        <f t="shared" ref="W18:W20" si="20">(U18/2)*S18</f>
        <v>0.83775804095727835</v>
      </c>
      <c r="X18" s="37">
        <f t="shared" ref="X18:X20" si="21">V18/W18</f>
        <v>0.12067483357831724</v>
      </c>
      <c r="Y18" s="37">
        <f t="shared" ref="Y18:Y20" si="22">1/0.013*X18^(2/3)*(K18/100)^(1/2)</f>
        <v>1.2878048282905239</v>
      </c>
      <c r="Z18" s="37">
        <f t="shared" ref="Z18:Z20" si="23">PI()*(S18/2)^2</f>
        <v>0.12566370614359174</v>
      </c>
    </row>
    <row r="19" spans="1:26" ht="35.1" customHeight="1" x14ac:dyDescent="0.25">
      <c r="A19" s="7"/>
      <c r="B19" s="3" t="s">
        <v>15</v>
      </c>
      <c r="C19" s="2" t="s">
        <v>10</v>
      </c>
      <c r="D19" s="2" t="s">
        <v>71</v>
      </c>
      <c r="E19" s="2" t="s">
        <v>11</v>
      </c>
      <c r="F19" s="29" t="s">
        <v>29</v>
      </c>
      <c r="G19" s="29" t="s">
        <v>30</v>
      </c>
      <c r="H19" s="29">
        <v>-5.97</v>
      </c>
      <c r="I19" s="29">
        <v>-6.07</v>
      </c>
      <c r="J19" s="29">
        <v>31.03</v>
      </c>
      <c r="K19" s="29">
        <v>0.32</v>
      </c>
      <c r="L19" s="29">
        <v>7.0000000000000007E-2</v>
      </c>
      <c r="M19" s="29">
        <f t="shared" ref="M19:M20" si="24">M18+L19</f>
        <v>0.26200000000000001</v>
      </c>
      <c r="N19" s="29">
        <f t="shared" si="13"/>
        <v>2.1350000000000001E-2</v>
      </c>
      <c r="O19" s="29">
        <f>N19+O18+N22</f>
        <v>0.10476750000000001</v>
      </c>
      <c r="P19" s="29">
        <f t="shared" si="14"/>
        <v>0.13353219046841086</v>
      </c>
      <c r="Q19" s="29" t="str">
        <f t="shared" si="15"/>
        <v>Ok!</v>
      </c>
      <c r="R19" s="9"/>
      <c r="S19" s="38">
        <f t="shared" si="16"/>
        <v>0.4</v>
      </c>
      <c r="T19" s="38">
        <f t="shared" si="17"/>
        <v>0.30000000000000004</v>
      </c>
      <c r="U19" s="37">
        <f t="shared" si="18"/>
        <v>4.1887902047863914</v>
      </c>
      <c r="V19" s="39">
        <f t="shared" si="19"/>
        <v>0.10109631217141664</v>
      </c>
      <c r="W19" s="39">
        <f t="shared" si="20"/>
        <v>0.83775804095727835</v>
      </c>
      <c r="X19" s="37">
        <f t="shared" si="21"/>
        <v>0.12067483357831724</v>
      </c>
      <c r="Y19" s="37">
        <f t="shared" si="22"/>
        <v>1.0626154087468029</v>
      </c>
      <c r="Z19" s="37">
        <f t="shared" si="23"/>
        <v>0.12566370614359174</v>
      </c>
    </row>
    <row r="20" spans="1:26" ht="35.1" customHeight="1" x14ac:dyDescent="0.25">
      <c r="A20" s="7"/>
      <c r="B20" s="3" t="s">
        <v>16</v>
      </c>
      <c r="C20" s="2" t="s">
        <v>10</v>
      </c>
      <c r="D20" s="2" t="s">
        <v>71</v>
      </c>
      <c r="E20" s="2" t="s">
        <v>11</v>
      </c>
      <c r="F20" s="29" t="s">
        <v>30</v>
      </c>
      <c r="G20" s="29" t="s">
        <v>31</v>
      </c>
      <c r="H20" s="29">
        <v>-6.12</v>
      </c>
      <c r="I20" s="29">
        <v>-6.22</v>
      </c>
      <c r="J20" s="29">
        <v>21.68</v>
      </c>
      <c r="K20" s="29">
        <v>0.5</v>
      </c>
      <c r="L20" s="29">
        <v>7.6499999999999999E-2</v>
      </c>
      <c r="M20" s="29">
        <f t="shared" si="24"/>
        <v>0.33850000000000002</v>
      </c>
      <c r="N20" s="29">
        <f t="shared" si="13"/>
        <v>2.3332499999999999E-2</v>
      </c>
      <c r="O20" s="29">
        <f>N20+O19+N24</f>
        <v>0.16165000000000002</v>
      </c>
      <c r="P20" s="29">
        <f t="shared" si="14"/>
        <v>0.16691523808551356</v>
      </c>
      <c r="Q20" s="29" t="str">
        <f t="shared" si="15"/>
        <v>Ok!</v>
      </c>
      <c r="R20" s="9"/>
      <c r="S20" s="38">
        <f t="shared" si="16"/>
        <v>0.4</v>
      </c>
      <c r="T20" s="38">
        <f t="shared" si="17"/>
        <v>0.30000000000000004</v>
      </c>
      <c r="U20" s="37">
        <f t="shared" si="18"/>
        <v>4.1887902047863914</v>
      </c>
      <c r="V20" s="39">
        <f t="shared" si="19"/>
        <v>0.10109631217141664</v>
      </c>
      <c r="W20" s="39">
        <f t="shared" si="20"/>
        <v>0.83775804095727835</v>
      </c>
      <c r="X20" s="37">
        <f t="shared" si="21"/>
        <v>0.12067483357831724</v>
      </c>
      <c r="Y20" s="37">
        <f t="shared" si="22"/>
        <v>1.3282692609335036</v>
      </c>
      <c r="Z20" s="37">
        <f t="shared" si="23"/>
        <v>0.12566370614359174</v>
      </c>
    </row>
    <row r="21" spans="1:26" ht="20.100000000000001" customHeight="1" x14ac:dyDescent="0.25">
      <c r="A21" s="7"/>
      <c r="B21" s="3"/>
      <c r="C21" s="2"/>
      <c r="D21" s="2"/>
      <c r="E21" s="2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9"/>
    </row>
    <row r="22" spans="1:26" ht="35.1" customHeight="1" x14ac:dyDescent="0.25">
      <c r="A22" s="7"/>
      <c r="B22" s="3" t="s">
        <v>13</v>
      </c>
      <c r="C22" s="2" t="s">
        <v>10</v>
      </c>
      <c r="D22" s="2" t="s">
        <v>71</v>
      </c>
      <c r="E22" s="2" t="s">
        <v>11</v>
      </c>
      <c r="F22" s="29" t="s">
        <v>33</v>
      </c>
      <c r="G22" s="29" t="s">
        <v>29</v>
      </c>
      <c r="H22" s="29">
        <v>-5.84</v>
      </c>
      <c r="I22" s="29">
        <v>-5.97</v>
      </c>
      <c r="J22" s="29">
        <v>27.48</v>
      </c>
      <c r="K22" s="29">
        <v>0.49</v>
      </c>
      <c r="L22" s="29">
        <v>8.1500000000000003E-2</v>
      </c>
      <c r="M22" s="29">
        <f>M21+L22</f>
        <v>8.1500000000000003E-2</v>
      </c>
      <c r="N22" s="29">
        <f>($Q$2*$N$2*L22)/360</f>
        <v>2.4857500000000001E-2</v>
      </c>
      <c r="O22" s="29">
        <f>N22+O21</f>
        <v>2.4857500000000001E-2</v>
      </c>
      <c r="P22" s="29">
        <f>Y22*Z22</f>
        <v>0.16523765542708718</v>
      </c>
      <c r="Q22" s="29" t="str">
        <f>IF(P22&gt;O22,"Ok!","Aumentar D")</f>
        <v>Ok!</v>
      </c>
      <c r="R22" s="9"/>
      <c r="S22" s="38">
        <f>IF(D22="Ø 400,00",0.4,IF(D22="Ø 600,00",0.6,IF(D22="Ø 800,00",0.8)))</f>
        <v>0.4</v>
      </c>
      <c r="T22" s="38">
        <f>S22*0.75</f>
        <v>0.30000000000000004</v>
      </c>
      <c r="U22" s="37">
        <f>(2*ACOS((1-(2*T22)/S22)))</f>
        <v>4.1887902047863914</v>
      </c>
      <c r="V22" s="39">
        <f>((U22-SIN(U22))/8)*S22^2</f>
        <v>0.10109631217141664</v>
      </c>
      <c r="W22" s="39">
        <f>(U22/2)*S22</f>
        <v>0.83775804095727835</v>
      </c>
      <c r="X22" s="37">
        <f>V22/W22</f>
        <v>0.12067483357831724</v>
      </c>
      <c r="Y22" s="37">
        <f>1/0.013*X22^(2/3)*(K22/100)^(1/2)</f>
        <v>1.3149194823068135</v>
      </c>
      <c r="Z22" s="37">
        <f>PI()*(S22/2)^2</f>
        <v>0.12566370614359174</v>
      </c>
    </row>
    <row r="23" spans="1:26" ht="20.100000000000001" customHeight="1" x14ac:dyDescent="0.25">
      <c r="A23" s="7"/>
      <c r="B23" s="3"/>
      <c r="C23" s="2"/>
      <c r="D23" s="2"/>
      <c r="E23" s="2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9"/>
    </row>
    <row r="24" spans="1:26" ht="35.1" customHeight="1" x14ac:dyDescent="0.25">
      <c r="A24" s="7"/>
      <c r="B24" s="3" t="s">
        <v>13</v>
      </c>
      <c r="C24" s="2" t="s">
        <v>10</v>
      </c>
      <c r="D24" s="2" t="s">
        <v>71</v>
      </c>
      <c r="E24" s="2" t="s">
        <v>11</v>
      </c>
      <c r="F24" s="29" t="s">
        <v>34</v>
      </c>
      <c r="G24" s="29" t="s">
        <v>30</v>
      </c>
      <c r="H24" s="29">
        <v>-5.94</v>
      </c>
      <c r="I24" s="29">
        <v>-6.12</v>
      </c>
      <c r="J24" s="29">
        <v>36.909999999999997</v>
      </c>
      <c r="K24" s="29">
        <v>0.49</v>
      </c>
      <c r="L24" s="29">
        <v>0.11</v>
      </c>
      <c r="M24" s="29">
        <f>M23+L24</f>
        <v>0.11</v>
      </c>
      <c r="N24" s="29">
        <f>($Q$2*$N$2*L24)/360</f>
        <v>3.3549999999999996E-2</v>
      </c>
      <c r="O24" s="29">
        <f>N24+O23</f>
        <v>3.3549999999999996E-2</v>
      </c>
      <c r="P24" s="29">
        <f>Y24*Z24</f>
        <v>0.16523765542708718</v>
      </c>
      <c r="Q24" s="29" t="str">
        <f>IF(P24&gt;O24,"Ok!","Aumentar D")</f>
        <v>Ok!</v>
      </c>
      <c r="R24" s="9"/>
      <c r="S24" s="38">
        <f>IF(D24="Ø 400,00",0.4,IF(D24="Ø 600,00",0.6,IF(D24="Ø 800,00",0.8)))</f>
        <v>0.4</v>
      </c>
      <c r="T24" s="38">
        <f>S24*0.75</f>
        <v>0.30000000000000004</v>
      </c>
      <c r="U24" s="37">
        <f>(2*ACOS((1-(2*T24)/S24)))</f>
        <v>4.1887902047863914</v>
      </c>
      <c r="V24" s="39">
        <f>((U24-SIN(U24))/8)*S24^2</f>
        <v>0.10109631217141664</v>
      </c>
      <c r="W24" s="39">
        <f>(U24/2)*S24</f>
        <v>0.83775804095727835</v>
      </c>
      <c r="X24" s="37">
        <f>V24/W24</f>
        <v>0.12067483357831724</v>
      </c>
      <c r="Y24" s="37">
        <f>1/0.013*X24^(2/3)*(K24/100)^(1/2)</f>
        <v>1.3149194823068135</v>
      </c>
      <c r="Z24" s="37">
        <f>PI()*(S24/2)^2</f>
        <v>0.12566370614359174</v>
      </c>
    </row>
    <row r="25" spans="1:26" ht="20.100000000000001" customHeight="1" x14ac:dyDescent="0.25">
      <c r="A25" s="7"/>
      <c r="B25" s="3"/>
      <c r="C25" s="2"/>
      <c r="D25" s="2"/>
      <c r="E25" s="2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9"/>
    </row>
    <row r="26" spans="1:26" ht="35.1" customHeight="1" x14ac:dyDescent="0.25">
      <c r="A26" s="7"/>
      <c r="B26" s="3" t="s">
        <v>13</v>
      </c>
      <c r="C26" s="2" t="s">
        <v>10</v>
      </c>
      <c r="D26" s="2" t="s">
        <v>71</v>
      </c>
      <c r="E26" s="2" t="s">
        <v>11</v>
      </c>
      <c r="F26" s="29" t="s">
        <v>35</v>
      </c>
      <c r="G26" s="29" t="s">
        <v>36</v>
      </c>
      <c r="H26" s="29">
        <v>-5.92</v>
      </c>
      <c r="I26" s="29">
        <v>-6.13</v>
      </c>
      <c r="J26" s="29">
        <v>41.55</v>
      </c>
      <c r="K26" s="29">
        <v>0.5</v>
      </c>
      <c r="L26" s="29">
        <v>0.105</v>
      </c>
      <c r="M26" s="29">
        <f t="shared" ref="M26:M27" si="25">M25+L26</f>
        <v>0.105</v>
      </c>
      <c r="N26" s="29">
        <f>($Q$2*$N$2*L26)/360</f>
        <v>3.2024999999999998E-2</v>
      </c>
      <c r="O26" s="29">
        <f t="shared" ref="O26:O27" si="26">N26+O25</f>
        <v>3.2024999999999998E-2</v>
      </c>
      <c r="P26" s="29">
        <f>Y26*Z26</f>
        <v>0.16691523808551356</v>
      </c>
      <c r="Q26" s="29" t="str">
        <f>IF(P26&gt;O26,"Ok!","Aumentar D")</f>
        <v>Ok!</v>
      </c>
      <c r="R26" s="9"/>
      <c r="S26" s="38">
        <f>IF(D26="Ø 400,00",0.4,IF(D26="Ø 600,00",0.6,IF(D26="Ø 800,00",0.8)))</f>
        <v>0.4</v>
      </c>
      <c r="T26" s="38">
        <f>S26*0.75</f>
        <v>0.30000000000000004</v>
      </c>
      <c r="U26" s="37">
        <f>(2*ACOS((1-(2*T26)/S26)))</f>
        <v>4.1887902047863914</v>
      </c>
      <c r="V26" s="39">
        <f>((U26-SIN(U26))/8)*S26^2</f>
        <v>0.10109631217141664</v>
      </c>
      <c r="W26" s="39">
        <f>(U26/2)*S26</f>
        <v>0.83775804095727835</v>
      </c>
      <c r="X26" s="37">
        <f>V26/W26</f>
        <v>0.12067483357831724</v>
      </c>
      <c r="Y26" s="37">
        <f>1/0.013*X26^(2/3)*(K26/100)^(1/2)</f>
        <v>1.3282692609335036</v>
      </c>
      <c r="Z26" s="37">
        <f>PI()*(S26/2)^2</f>
        <v>0.12566370614359174</v>
      </c>
    </row>
    <row r="27" spans="1:26" ht="35.1" customHeight="1" x14ac:dyDescent="0.25">
      <c r="A27" s="7"/>
      <c r="B27" s="3" t="s">
        <v>14</v>
      </c>
      <c r="C27" s="2" t="s">
        <v>10</v>
      </c>
      <c r="D27" s="2" t="s">
        <v>71</v>
      </c>
      <c r="E27" s="2" t="s">
        <v>11</v>
      </c>
      <c r="F27" s="29" t="s">
        <v>36</v>
      </c>
      <c r="G27" s="29" t="s">
        <v>37</v>
      </c>
      <c r="H27" s="29">
        <v>-6.13</v>
      </c>
      <c r="I27" s="29">
        <v>-6.18</v>
      </c>
      <c r="J27" s="29">
        <v>11.64</v>
      </c>
      <c r="K27" s="29">
        <v>0.43</v>
      </c>
      <c r="L27" s="29">
        <v>5.8500000000000003E-2</v>
      </c>
      <c r="M27" s="29">
        <f t="shared" si="25"/>
        <v>0.16350000000000001</v>
      </c>
      <c r="N27" s="29">
        <f>($Q$2*$N$2*L27)/360</f>
        <v>1.7842500000000001E-2</v>
      </c>
      <c r="O27" s="29">
        <f t="shared" si="26"/>
        <v>4.9867499999999995E-2</v>
      </c>
      <c r="P27" s="29">
        <f>Y27*Z27</f>
        <v>0.15479082390898874</v>
      </c>
      <c r="Q27" s="29" t="str">
        <f>IF(P27&gt;O27,"Ok!","Aumentar D")</f>
        <v>Ok!</v>
      </c>
      <c r="R27" s="9"/>
      <c r="S27" s="38">
        <f>IF(D27="Ø 400,00",0.4,IF(D27="Ø 600,00",0.6,IF(D27="Ø 800,00",0.8)))</f>
        <v>0.4</v>
      </c>
      <c r="T27" s="38">
        <f>S27*0.75</f>
        <v>0.30000000000000004</v>
      </c>
      <c r="U27" s="37">
        <f>(2*ACOS((1-(2*T27)/S27)))</f>
        <v>4.1887902047863914</v>
      </c>
      <c r="V27" s="39">
        <f>((U27-SIN(U27))/8)*S27^2</f>
        <v>0.10109631217141664</v>
      </c>
      <c r="W27" s="39">
        <f>(U27/2)*S27</f>
        <v>0.83775804095727835</v>
      </c>
      <c r="X27" s="37">
        <f>V27/W27</f>
        <v>0.12067483357831724</v>
      </c>
      <c r="Y27" s="37">
        <f>1/0.013*X27^(2/3)*(K27/100)^(1/2)</f>
        <v>1.2317862385191347</v>
      </c>
      <c r="Z27" s="37">
        <f>PI()*(S27/2)^2</f>
        <v>0.12566370614359174</v>
      </c>
    </row>
    <row r="28" spans="1:26" ht="20.100000000000001" customHeight="1" x14ac:dyDescent="0.25">
      <c r="A28" s="7"/>
      <c r="B28" s="3"/>
      <c r="C28" s="2"/>
      <c r="D28" s="2"/>
      <c r="E28" s="2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9"/>
    </row>
    <row r="29" spans="1:26" ht="35.1" customHeight="1" x14ac:dyDescent="0.25">
      <c r="A29" s="7"/>
      <c r="B29" s="3" t="s">
        <v>13</v>
      </c>
      <c r="C29" s="2" t="s">
        <v>10</v>
      </c>
      <c r="D29" s="2" t="s">
        <v>71</v>
      </c>
      <c r="E29" s="2" t="s">
        <v>11</v>
      </c>
      <c r="F29" s="29" t="s">
        <v>32</v>
      </c>
      <c r="G29" s="29" t="s">
        <v>40</v>
      </c>
      <c r="H29" s="29">
        <v>-5.43</v>
      </c>
      <c r="I29" s="29">
        <v>-5.62</v>
      </c>
      <c r="J29" s="29">
        <v>39.99</v>
      </c>
      <c r="K29" s="29">
        <v>0.49</v>
      </c>
      <c r="L29" s="29">
        <v>0.05</v>
      </c>
      <c r="M29" s="29">
        <f t="shared" ref="M29:M31" si="27">M28+L29</f>
        <v>0.05</v>
      </c>
      <c r="N29" s="29">
        <f t="shared" ref="N29:N31" si="28">($Q$2*$N$2*L29)/360</f>
        <v>1.5250000000000001E-2</v>
      </c>
      <c r="O29" s="29">
        <f t="shared" ref="O29:O31" si="29">N29+O28</f>
        <v>1.5250000000000001E-2</v>
      </c>
      <c r="P29" s="29">
        <f t="shared" ref="P29:P31" si="30">Y29*Z29</f>
        <v>0.16523765542708718</v>
      </c>
      <c r="Q29" s="29" t="str">
        <f t="shared" ref="Q29:Q31" si="31">IF(P29&gt;O29,"Ok!","Aumentar D")</f>
        <v>Ok!</v>
      </c>
      <c r="R29" s="9"/>
      <c r="S29" s="38">
        <f t="shared" ref="S29:S31" si="32">IF(D29="Ø 400,00",0.4,IF(D29="Ø 600,00",0.6,IF(D29="Ø 800,00",0.8)))</f>
        <v>0.4</v>
      </c>
      <c r="T29" s="38">
        <f t="shared" ref="T29:T31" si="33">S29*0.75</f>
        <v>0.30000000000000004</v>
      </c>
      <c r="U29" s="37">
        <f t="shared" ref="U29:U31" si="34">(2*ACOS((1-(2*T29)/S29)))</f>
        <v>4.1887902047863914</v>
      </c>
      <c r="V29" s="39">
        <f t="shared" ref="V29:V31" si="35">((U29-SIN(U29))/8)*S29^2</f>
        <v>0.10109631217141664</v>
      </c>
      <c r="W29" s="39">
        <f t="shared" ref="W29:W31" si="36">(U29/2)*S29</f>
        <v>0.83775804095727835</v>
      </c>
      <c r="X29" s="37">
        <f t="shared" ref="X29:X31" si="37">V29/W29</f>
        <v>0.12067483357831724</v>
      </c>
      <c r="Y29" s="37">
        <f t="shared" ref="Y29:Y31" si="38">1/0.013*X29^(2/3)*(K29/100)^(1/2)</f>
        <v>1.3149194823068135</v>
      </c>
      <c r="Z29" s="37">
        <f t="shared" ref="Z29:Z31" si="39">PI()*(S29/2)^2</f>
        <v>0.12566370614359174</v>
      </c>
    </row>
    <row r="30" spans="1:26" ht="35.1" customHeight="1" x14ac:dyDescent="0.25">
      <c r="A30" s="7"/>
      <c r="B30" s="3" t="s">
        <v>14</v>
      </c>
      <c r="C30" s="2" t="s">
        <v>10</v>
      </c>
      <c r="D30" s="2" t="s">
        <v>71</v>
      </c>
      <c r="E30" s="2" t="s">
        <v>11</v>
      </c>
      <c r="F30" s="29" t="s">
        <v>40</v>
      </c>
      <c r="G30" s="29" t="s">
        <v>41</v>
      </c>
      <c r="H30" s="29">
        <v>-5.62</v>
      </c>
      <c r="I30" s="29">
        <v>-5.82</v>
      </c>
      <c r="J30" s="29">
        <v>40</v>
      </c>
      <c r="K30" s="29">
        <v>0.5</v>
      </c>
      <c r="L30" s="29">
        <v>7.6499999999999999E-2</v>
      </c>
      <c r="M30" s="29">
        <f t="shared" si="27"/>
        <v>0.1265</v>
      </c>
      <c r="N30" s="29">
        <f t="shared" si="28"/>
        <v>2.3332499999999999E-2</v>
      </c>
      <c r="O30" s="29">
        <f t="shared" si="29"/>
        <v>3.8582499999999999E-2</v>
      </c>
      <c r="P30" s="29">
        <f t="shared" si="30"/>
        <v>0.16691523808551356</v>
      </c>
      <c r="Q30" s="29" t="str">
        <f t="shared" si="31"/>
        <v>Ok!</v>
      </c>
      <c r="R30" s="9"/>
      <c r="S30" s="38">
        <f t="shared" si="32"/>
        <v>0.4</v>
      </c>
      <c r="T30" s="38">
        <f t="shared" si="33"/>
        <v>0.30000000000000004</v>
      </c>
      <c r="U30" s="37">
        <f t="shared" si="34"/>
        <v>4.1887902047863914</v>
      </c>
      <c r="V30" s="39">
        <f t="shared" si="35"/>
        <v>0.10109631217141664</v>
      </c>
      <c r="W30" s="39">
        <f t="shared" si="36"/>
        <v>0.83775804095727835</v>
      </c>
      <c r="X30" s="37">
        <f t="shared" si="37"/>
        <v>0.12067483357831724</v>
      </c>
      <c r="Y30" s="37">
        <f t="shared" si="38"/>
        <v>1.3282692609335036</v>
      </c>
      <c r="Z30" s="37">
        <f t="shared" si="39"/>
        <v>0.12566370614359174</v>
      </c>
    </row>
    <row r="31" spans="1:26" ht="35.1" customHeight="1" x14ac:dyDescent="0.25">
      <c r="A31" s="7"/>
      <c r="B31" s="3" t="s">
        <v>15</v>
      </c>
      <c r="C31" s="2" t="s">
        <v>10</v>
      </c>
      <c r="D31" s="2" t="s">
        <v>71</v>
      </c>
      <c r="E31" s="2" t="s">
        <v>11</v>
      </c>
      <c r="F31" s="29" t="s">
        <v>41</v>
      </c>
      <c r="G31" s="29" t="s">
        <v>31</v>
      </c>
      <c r="H31" s="29">
        <v>-5.82</v>
      </c>
      <c r="I31" s="29">
        <v>-5.86</v>
      </c>
      <c r="J31" s="29">
        <v>7.67</v>
      </c>
      <c r="K31" s="29">
        <v>0.52</v>
      </c>
      <c r="L31" s="29">
        <v>8.8999999999999996E-2</v>
      </c>
      <c r="M31" s="29">
        <f t="shared" si="27"/>
        <v>0.2155</v>
      </c>
      <c r="N31" s="29">
        <f t="shared" si="28"/>
        <v>2.7144999999999999E-2</v>
      </c>
      <c r="O31" s="29">
        <f t="shared" si="29"/>
        <v>6.5727499999999994E-2</v>
      </c>
      <c r="P31" s="29">
        <f t="shared" si="30"/>
        <v>0.17022081122280383</v>
      </c>
      <c r="Q31" s="29" t="str">
        <f t="shared" si="31"/>
        <v>Ok!</v>
      </c>
      <c r="R31" s="9"/>
      <c r="S31" s="38">
        <f t="shared" si="32"/>
        <v>0.4</v>
      </c>
      <c r="T31" s="38">
        <f t="shared" si="33"/>
        <v>0.30000000000000004</v>
      </c>
      <c r="U31" s="37">
        <f t="shared" si="34"/>
        <v>4.1887902047863914</v>
      </c>
      <c r="V31" s="39">
        <f t="shared" si="35"/>
        <v>0.10109631217141664</v>
      </c>
      <c r="W31" s="39">
        <f t="shared" si="36"/>
        <v>0.83775804095727835</v>
      </c>
      <c r="X31" s="37">
        <f t="shared" si="37"/>
        <v>0.12067483357831724</v>
      </c>
      <c r="Y31" s="37">
        <f t="shared" si="38"/>
        <v>1.3545741761610801</v>
      </c>
      <c r="Z31" s="37">
        <f t="shared" si="39"/>
        <v>0.12566370614359174</v>
      </c>
    </row>
    <row r="32" spans="1:26" ht="20.100000000000001" customHeight="1" x14ac:dyDescent="0.25">
      <c r="A32" s="7"/>
      <c r="B32" s="3"/>
      <c r="C32" s="2"/>
      <c r="D32" s="2"/>
      <c r="E32" s="2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9"/>
    </row>
    <row r="33" spans="1:26" ht="35.1" customHeight="1" x14ac:dyDescent="0.25">
      <c r="A33" s="7"/>
      <c r="B33" s="3" t="s">
        <v>13</v>
      </c>
      <c r="C33" s="2" t="s">
        <v>10</v>
      </c>
      <c r="D33" s="2" t="s">
        <v>72</v>
      </c>
      <c r="E33" s="2" t="s">
        <v>11</v>
      </c>
      <c r="F33" s="29" t="s">
        <v>38</v>
      </c>
      <c r="G33" s="29" t="s">
        <v>37</v>
      </c>
      <c r="H33" s="29">
        <v>-6</v>
      </c>
      <c r="I33" s="29">
        <v>-6.43</v>
      </c>
      <c r="J33" s="29">
        <v>13.83</v>
      </c>
      <c r="K33" s="29">
        <v>3.13</v>
      </c>
      <c r="L33" s="29">
        <f>1.15</f>
        <v>1.1499999999999999</v>
      </c>
      <c r="M33" s="29">
        <f>L33</f>
        <v>1.1499999999999999</v>
      </c>
      <c r="N33" s="29">
        <f t="shared" ref="N33:N35" si="40">($Q$2*$N$2*L33)/360</f>
        <v>0.35074999999999995</v>
      </c>
      <c r="O33" s="29">
        <f t="shared" ref="O33" si="41">N33+O32</f>
        <v>0.35074999999999995</v>
      </c>
      <c r="P33" s="29">
        <f t="shared" ref="P33:P35" si="42">Y33*Z33</f>
        <v>1.2312885578751458</v>
      </c>
      <c r="Q33" s="29" t="str">
        <f t="shared" ref="Q33:Q35" si="43">IF(P33&gt;O33,"Ok!","Aumentar D")</f>
        <v>Ok!</v>
      </c>
      <c r="R33" s="9"/>
      <c r="S33" s="38">
        <f t="shared" ref="S33:S35" si="44">IF(D33="Ø 400,00",0.4,IF(D33="Ø 600,00",0.6,IF(D33="Ø 800,00",0.8)))</f>
        <v>0.6</v>
      </c>
      <c r="T33" s="38">
        <f t="shared" ref="T33:T35" si="45">S33*0.75</f>
        <v>0.44999999999999996</v>
      </c>
      <c r="U33" s="37">
        <f t="shared" ref="U33:U35" si="46">(2*ACOS((1-(2*T33)/S33)))</f>
        <v>4.1887902047863914</v>
      </c>
      <c r="V33" s="39">
        <f t="shared" ref="V33:V35" si="47">((U33-SIN(U33))/8)*S33^2</f>
        <v>0.22746670238568736</v>
      </c>
      <c r="W33" s="39">
        <f t="shared" ref="W33:W35" si="48">(U33/2)*S33</f>
        <v>1.2566370614359175</v>
      </c>
      <c r="X33" s="37">
        <f t="shared" ref="X33:X35" si="49">V33/W33</f>
        <v>0.18101225036747581</v>
      </c>
      <c r="Y33" s="37">
        <f t="shared" ref="Y33:Y35" si="50">1/0.013*X33^(2/3)*(K33/100)^(1/2)</f>
        <v>4.3547924524071266</v>
      </c>
      <c r="Z33" s="37">
        <f t="shared" ref="Z33:Z35" si="51">PI()*(S33/2)^2</f>
        <v>0.28274333882308139</v>
      </c>
    </row>
    <row r="34" spans="1:26" ht="35.1" customHeight="1" x14ac:dyDescent="0.25">
      <c r="A34" s="7"/>
      <c r="B34" s="3" t="s">
        <v>14</v>
      </c>
      <c r="C34" s="2" t="s">
        <v>10</v>
      </c>
      <c r="D34" s="2" t="s">
        <v>72</v>
      </c>
      <c r="E34" s="2" t="s">
        <v>11</v>
      </c>
      <c r="F34" s="29" t="s">
        <v>37</v>
      </c>
      <c r="G34" s="29" t="s">
        <v>31</v>
      </c>
      <c r="H34" s="29">
        <v>-6.43</v>
      </c>
      <c r="I34" s="29">
        <v>-6.47</v>
      </c>
      <c r="J34" s="29">
        <v>12.38</v>
      </c>
      <c r="K34" s="29">
        <v>0.75</v>
      </c>
      <c r="L34" s="29">
        <v>0</v>
      </c>
      <c r="M34" s="29">
        <f>L34</f>
        <v>0</v>
      </c>
      <c r="N34" s="29">
        <f t="shared" si="40"/>
        <v>0</v>
      </c>
      <c r="O34" s="29">
        <f>N34+O33+O27</f>
        <v>0.40061749999999996</v>
      </c>
      <c r="P34" s="29">
        <f>Y34*Z34</f>
        <v>0.60272375229990971</v>
      </c>
      <c r="Q34" s="29" t="str">
        <f t="shared" si="43"/>
        <v>Ok!</v>
      </c>
      <c r="R34" s="9"/>
      <c r="S34" s="38">
        <f t="shared" si="44"/>
        <v>0.6</v>
      </c>
      <c r="T34" s="38">
        <f t="shared" si="45"/>
        <v>0.44999999999999996</v>
      </c>
      <c r="U34" s="37">
        <f t="shared" si="46"/>
        <v>4.1887902047863914</v>
      </c>
      <c r="V34" s="39">
        <f t="shared" si="47"/>
        <v>0.22746670238568736</v>
      </c>
      <c r="W34" s="39">
        <f t="shared" si="48"/>
        <v>1.2566370614359175</v>
      </c>
      <c r="X34" s="37">
        <f t="shared" si="49"/>
        <v>0.18101225036747581</v>
      </c>
      <c r="Y34" s="37">
        <f t="shared" si="50"/>
        <v>2.1316992110539057</v>
      </c>
      <c r="Z34" s="37">
        <f t="shared" si="51"/>
        <v>0.28274333882308139</v>
      </c>
    </row>
    <row r="35" spans="1:26" ht="35.1" customHeight="1" x14ac:dyDescent="0.25">
      <c r="A35" s="7"/>
      <c r="B35" s="3" t="s">
        <v>15</v>
      </c>
      <c r="C35" s="2" t="s">
        <v>10</v>
      </c>
      <c r="D35" s="2" t="s">
        <v>72</v>
      </c>
      <c r="E35" s="2" t="s">
        <v>11</v>
      </c>
      <c r="F35" s="29" t="s">
        <v>31</v>
      </c>
      <c r="G35" s="29" t="s">
        <v>39</v>
      </c>
      <c r="H35" s="29">
        <v>-6.47</v>
      </c>
      <c r="I35" s="29">
        <v>-7</v>
      </c>
      <c r="J35" s="29">
        <v>24.1</v>
      </c>
      <c r="K35" s="29">
        <v>2.1800000000000002</v>
      </c>
      <c r="L35" s="29">
        <v>0</v>
      </c>
      <c r="M35" s="29">
        <f>L35+M34</f>
        <v>0</v>
      </c>
      <c r="N35" s="29">
        <f t="shared" si="40"/>
        <v>0</v>
      </c>
      <c r="O35" s="29">
        <f>N35+O34+O20+O31</f>
        <v>0.62799499999999986</v>
      </c>
      <c r="P35" s="29">
        <f t="shared" si="42"/>
        <v>1.0275806596457739</v>
      </c>
      <c r="Q35" s="29" t="str">
        <f t="shared" si="43"/>
        <v>Ok!</v>
      </c>
      <c r="R35" s="9"/>
      <c r="S35" s="38">
        <f t="shared" si="44"/>
        <v>0.6</v>
      </c>
      <c r="T35" s="38">
        <f t="shared" si="45"/>
        <v>0.44999999999999996</v>
      </c>
      <c r="U35" s="37">
        <f t="shared" si="46"/>
        <v>4.1887902047863914</v>
      </c>
      <c r="V35" s="39">
        <f t="shared" si="47"/>
        <v>0.22746670238568736</v>
      </c>
      <c r="W35" s="39">
        <f t="shared" si="48"/>
        <v>1.2566370614359175</v>
      </c>
      <c r="X35" s="37">
        <f t="shared" si="49"/>
        <v>0.18101225036747581</v>
      </c>
      <c r="Y35" s="37">
        <f t="shared" si="50"/>
        <v>3.6343231424056763</v>
      </c>
      <c r="Z35" s="37">
        <f t="shared" si="51"/>
        <v>0.28274333882308139</v>
      </c>
    </row>
    <row r="36" spans="1:26" ht="26.25" customHeight="1" x14ac:dyDescent="0.25">
      <c r="A36" s="7"/>
      <c r="B36" s="8"/>
      <c r="C36" s="8"/>
      <c r="D36" s="8"/>
      <c r="E36" s="8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9"/>
    </row>
    <row r="37" spans="1:26" ht="49.5" customHeight="1" x14ac:dyDescent="0.25">
      <c r="A37" s="7"/>
      <c r="B37" s="8"/>
      <c r="C37" s="8"/>
      <c r="D37" s="8"/>
      <c r="E37" s="8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9"/>
    </row>
    <row r="38" spans="1:26" ht="49.5" customHeight="1" x14ac:dyDescent="0.25">
      <c r="A38" s="7"/>
      <c r="B38" s="8"/>
      <c r="C38" s="8"/>
      <c r="D38" s="8"/>
      <c r="E38" s="8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9"/>
    </row>
    <row r="39" spans="1:26" ht="49.5" customHeight="1" x14ac:dyDescent="0.25">
      <c r="A39" s="7"/>
      <c r="B39" s="8"/>
      <c r="C39" s="8"/>
      <c r="D39" s="8"/>
      <c r="E39" s="8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9"/>
    </row>
    <row r="40" spans="1:26" ht="49.5" customHeight="1" thickBot="1" x14ac:dyDescent="0.3">
      <c r="A40" s="13"/>
      <c r="B40" s="14"/>
      <c r="C40" s="14"/>
      <c r="D40" s="14"/>
      <c r="E40" s="14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5"/>
    </row>
    <row r="41" spans="1:26" x14ac:dyDescent="0.25">
      <c r="A41" s="4"/>
      <c r="B41" s="5"/>
      <c r="C41" s="5"/>
      <c r="D41" s="5"/>
      <c r="E41" s="5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6"/>
    </row>
    <row r="42" spans="1:26" x14ac:dyDescent="0.25">
      <c r="A42" s="7"/>
      <c r="B42" s="10" t="s">
        <v>42</v>
      </c>
      <c r="C42" s="8"/>
      <c r="D42" s="8"/>
      <c r="E42" s="8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9"/>
    </row>
    <row r="43" spans="1:26" x14ac:dyDescent="0.25">
      <c r="A43" s="7"/>
      <c r="B43" s="11"/>
      <c r="C43" s="8"/>
      <c r="D43" s="8"/>
      <c r="E43" s="8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9"/>
    </row>
    <row r="44" spans="1:26" ht="15" customHeight="1" x14ac:dyDescent="0.25">
      <c r="A44" s="7"/>
      <c r="B44" s="50" t="s">
        <v>0</v>
      </c>
      <c r="C44" s="50" t="s">
        <v>1</v>
      </c>
      <c r="D44" s="50" t="s">
        <v>2</v>
      </c>
      <c r="E44" s="50" t="s">
        <v>3</v>
      </c>
      <c r="F44" s="45" t="s">
        <v>4</v>
      </c>
      <c r="G44" s="45" t="s">
        <v>5</v>
      </c>
      <c r="H44" s="50" t="s">
        <v>6</v>
      </c>
      <c r="I44" s="50" t="s">
        <v>7</v>
      </c>
      <c r="J44" s="45" t="s">
        <v>8</v>
      </c>
      <c r="K44" s="50" t="s">
        <v>9</v>
      </c>
      <c r="L44" s="50" t="s">
        <v>77</v>
      </c>
      <c r="M44" s="50"/>
      <c r="N44" s="42" t="s">
        <v>76</v>
      </c>
      <c r="O44" s="43"/>
      <c r="P44" s="44"/>
      <c r="Q44" s="50" t="s">
        <v>81</v>
      </c>
      <c r="R44" s="9"/>
    </row>
    <row r="45" spans="1:26" ht="15" customHeight="1" x14ac:dyDescent="0.25">
      <c r="A45" s="7"/>
      <c r="B45" s="50"/>
      <c r="C45" s="50"/>
      <c r="D45" s="50"/>
      <c r="E45" s="50"/>
      <c r="F45" s="47"/>
      <c r="G45" s="47"/>
      <c r="H45" s="50"/>
      <c r="I45" s="50"/>
      <c r="J45" s="47"/>
      <c r="K45" s="50"/>
      <c r="L45" s="50" t="s">
        <v>78</v>
      </c>
      <c r="M45" s="50" t="s">
        <v>79</v>
      </c>
      <c r="N45" s="42" t="s">
        <v>80</v>
      </c>
      <c r="O45" s="44"/>
      <c r="P45" s="45" t="s">
        <v>82</v>
      </c>
      <c r="Q45" s="50"/>
      <c r="R45" s="9"/>
    </row>
    <row r="46" spans="1:26" s="38" customFormat="1" x14ac:dyDescent="0.25">
      <c r="A46" s="7"/>
      <c r="B46" s="50"/>
      <c r="C46" s="50"/>
      <c r="D46" s="50"/>
      <c r="E46" s="50"/>
      <c r="F46" s="46"/>
      <c r="G46" s="46"/>
      <c r="H46" s="50"/>
      <c r="I46" s="50"/>
      <c r="J46" s="46"/>
      <c r="K46" s="50"/>
      <c r="L46" s="50"/>
      <c r="M46" s="50"/>
      <c r="N46" s="30" t="s">
        <v>78</v>
      </c>
      <c r="O46" s="30" t="s">
        <v>79</v>
      </c>
      <c r="P46" s="46"/>
      <c r="Q46" s="50"/>
      <c r="R46" s="9"/>
      <c r="S46" s="38" t="s">
        <v>85</v>
      </c>
      <c r="T46" s="38" t="s">
        <v>84</v>
      </c>
      <c r="U46" s="38" t="s">
        <v>83</v>
      </c>
      <c r="V46" s="38" t="s">
        <v>86</v>
      </c>
      <c r="W46" s="38" t="s">
        <v>87</v>
      </c>
      <c r="X46" s="38" t="s">
        <v>88</v>
      </c>
      <c r="Y46" s="38" t="s">
        <v>89</v>
      </c>
      <c r="Z46" s="38" t="s">
        <v>90</v>
      </c>
    </row>
    <row r="47" spans="1:26" ht="42" customHeight="1" x14ac:dyDescent="0.25">
      <c r="A47" s="7"/>
      <c r="B47" s="3" t="s">
        <v>13</v>
      </c>
      <c r="C47" s="2" t="s">
        <v>10</v>
      </c>
      <c r="D47" s="2" t="s">
        <v>71</v>
      </c>
      <c r="E47" s="2" t="s">
        <v>11</v>
      </c>
      <c r="F47" s="29" t="s">
        <v>43</v>
      </c>
      <c r="G47" s="29" t="s">
        <v>44</v>
      </c>
      <c r="H47" s="29">
        <v>-4.96</v>
      </c>
      <c r="I47" s="29">
        <v>-5.13</v>
      </c>
      <c r="J47" s="29">
        <v>34.409999999999997</v>
      </c>
      <c r="K47" s="29">
        <v>0.51</v>
      </c>
      <c r="L47" s="29">
        <v>0.35</v>
      </c>
      <c r="M47" s="29">
        <v>0.55000000000000004</v>
      </c>
      <c r="N47" s="29">
        <f t="shared" ref="N47" si="52">($Q$2*$N$2*L47)/360</f>
        <v>0.10675</v>
      </c>
      <c r="O47" s="29">
        <f>N47</f>
        <v>0.10675</v>
      </c>
      <c r="P47" s="29">
        <f t="shared" ref="P47" si="53">Y47*Z47</f>
        <v>0.16857612713325265</v>
      </c>
      <c r="Q47" s="29" t="str">
        <f t="shared" ref="Q47" si="54">IF(P47&gt;O47,"Ok!","Aumentar D")</f>
        <v>Ok!</v>
      </c>
      <c r="R47" s="9"/>
      <c r="S47" s="38">
        <f t="shared" ref="S47" si="55">IF(D47="Ø 400,00",0.4,IF(D47="Ø 600,00",0.6,IF(D47="Ø 800,00",0.8)))</f>
        <v>0.4</v>
      </c>
      <c r="T47" s="38">
        <f t="shared" ref="T47:T54" si="56">S47*0.75</f>
        <v>0.30000000000000004</v>
      </c>
      <c r="U47" s="37">
        <f t="shared" ref="U47" si="57">(2*ACOS((1-(2*T47)/S47)))</f>
        <v>4.1887902047863914</v>
      </c>
      <c r="V47" s="39">
        <f t="shared" ref="V47" si="58">((U47-SIN(U47))/8)*S47^2</f>
        <v>0.10109631217141664</v>
      </c>
      <c r="W47" s="39">
        <f t="shared" ref="W47" si="59">(U47/2)*S47</f>
        <v>0.83775804095727835</v>
      </c>
      <c r="X47" s="37">
        <f t="shared" ref="X47" si="60">V47/W47</f>
        <v>0.12067483357831724</v>
      </c>
      <c r="Y47" s="37">
        <f t="shared" ref="Y47" si="61">1/0.013*X47^(2/3)*(K47/100)^(1/2)</f>
        <v>1.3414861960272468</v>
      </c>
      <c r="Z47" s="37">
        <f t="shared" ref="Z47" si="62">PI()*(S47/2)^2</f>
        <v>0.12566370614359174</v>
      </c>
    </row>
    <row r="48" spans="1:26" ht="42" customHeight="1" x14ac:dyDescent="0.25">
      <c r="A48" s="7"/>
      <c r="B48" s="3" t="s">
        <v>14</v>
      </c>
      <c r="C48" s="2" t="s">
        <v>10</v>
      </c>
      <c r="D48" s="2" t="s">
        <v>71</v>
      </c>
      <c r="E48" s="2" t="s">
        <v>11</v>
      </c>
      <c r="F48" s="29" t="s">
        <v>44</v>
      </c>
      <c r="G48" s="29" t="s">
        <v>45</v>
      </c>
      <c r="H48" s="29">
        <v>-5.13</v>
      </c>
      <c r="I48" s="29">
        <v>-5.3</v>
      </c>
      <c r="J48" s="29">
        <v>34.5</v>
      </c>
      <c r="K48" s="29">
        <v>0.48</v>
      </c>
      <c r="L48" s="29">
        <v>4.2999999999999997E-2</v>
      </c>
      <c r="M48" s="29">
        <f>L48+M47</f>
        <v>0.59300000000000008</v>
      </c>
      <c r="N48" s="29">
        <f t="shared" ref="N48" si="63">($Q$2*$N$2*L48)/360</f>
        <v>1.3114999999999998E-2</v>
      </c>
      <c r="O48" s="29">
        <f>N48+O47</f>
        <v>0.119865</v>
      </c>
      <c r="P48" s="29">
        <f t="shared" ref="P48" si="64">Y48*Z48</f>
        <v>0.16354286544187102</v>
      </c>
      <c r="Q48" s="29" t="str">
        <f t="shared" ref="Q48" si="65">IF(P48&gt;O48,"Ok!","Aumentar D")</f>
        <v>Ok!</v>
      </c>
      <c r="R48" s="9"/>
      <c r="S48" s="1">
        <f t="shared" ref="S48" si="66">IF(D48="Ø 400,00",0.4,IF(D48="Ø 600,00",0.6,IF(D48="Ø 800,00",0.8)))</f>
        <v>0.4</v>
      </c>
      <c r="T48" s="1">
        <f t="shared" si="56"/>
        <v>0.30000000000000004</v>
      </c>
      <c r="U48" s="1">
        <f t="shared" ref="U48" si="67">(2*ACOS((1-(2*T48)/S48)))</f>
        <v>4.1887902047863914</v>
      </c>
      <c r="V48" s="1">
        <f t="shared" ref="V48" si="68">((U48-SIN(U48))/8)*S48^2</f>
        <v>0.10109631217141664</v>
      </c>
      <c r="W48" s="1">
        <f t="shared" ref="W48" si="69">(U48/2)*S48</f>
        <v>0.83775804095727835</v>
      </c>
      <c r="X48" s="1">
        <f t="shared" ref="X48" si="70">V48/W48</f>
        <v>0.12067483357831724</v>
      </c>
      <c r="Y48" s="1">
        <f t="shared" ref="Y48" si="71">1/0.013*X48^(2/3)*(K48/100)^(1/2)</f>
        <v>1.301432772124324</v>
      </c>
      <c r="Z48" s="1">
        <f t="shared" ref="Z48" si="72">PI()*(S48/2)^2</f>
        <v>0.12566370614359174</v>
      </c>
    </row>
    <row r="49" spans="1:26" ht="42" customHeight="1" x14ac:dyDescent="0.25">
      <c r="A49" s="7"/>
      <c r="B49" s="3" t="s">
        <v>15</v>
      </c>
      <c r="C49" s="2" t="s">
        <v>10</v>
      </c>
      <c r="D49" s="2" t="s">
        <v>71</v>
      </c>
      <c r="E49" s="2" t="s">
        <v>11</v>
      </c>
      <c r="F49" s="29" t="s">
        <v>45</v>
      </c>
      <c r="G49" s="29" t="s">
        <v>46</v>
      </c>
      <c r="H49" s="29">
        <v>-5.3</v>
      </c>
      <c r="I49" s="29">
        <v>-5.38</v>
      </c>
      <c r="J49" s="29">
        <v>16.2</v>
      </c>
      <c r="K49" s="29">
        <v>0.5</v>
      </c>
      <c r="L49" s="29">
        <v>3.3000000000000002E-2</v>
      </c>
      <c r="M49" s="29">
        <f t="shared" ref="M49:M54" si="73">L49+M48</f>
        <v>0.62600000000000011</v>
      </c>
      <c r="N49" s="29">
        <f t="shared" ref="N49:N54" si="74">($Q$2*$N$2*L49)/360</f>
        <v>1.0065000000000001E-2</v>
      </c>
      <c r="O49" s="29">
        <f t="shared" ref="O49:O54" si="75">N49+O48</f>
        <v>0.12992999999999999</v>
      </c>
      <c r="P49" s="29">
        <f t="shared" ref="P49:P54" si="76">Y49*Z49</f>
        <v>0.16691523808551356</v>
      </c>
      <c r="Q49" s="29" t="str">
        <f t="shared" ref="Q49:Q54" si="77">IF(P49&gt;O49,"Ok!","Aumentar D")</f>
        <v>Ok!</v>
      </c>
      <c r="R49" s="9"/>
      <c r="S49" s="1">
        <f t="shared" ref="S49:S54" si="78">IF(D49="Ø 400,00",0.4,IF(D49="Ø 600,00",0.6,IF(D49="Ø 800,00",0.8)))</f>
        <v>0.4</v>
      </c>
      <c r="T49" s="1">
        <f t="shared" si="56"/>
        <v>0.30000000000000004</v>
      </c>
      <c r="U49" s="1">
        <f t="shared" ref="U49:U54" si="79">(2*ACOS((1-(2*T49)/S49)))</f>
        <v>4.1887902047863914</v>
      </c>
      <c r="V49" s="1">
        <f t="shared" ref="V49:V54" si="80">((U49-SIN(U49))/8)*S49^2</f>
        <v>0.10109631217141664</v>
      </c>
      <c r="W49" s="1">
        <f t="shared" ref="W49:W54" si="81">(U49/2)*S49</f>
        <v>0.83775804095727835</v>
      </c>
      <c r="X49" s="1">
        <f t="shared" ref="X49:X54" si="82">V49/W49</f>
        <v>0.12067483357831724</v>
      </c>
      <c r="Y49" s="1">
        <f t="shared" ref="Y49:Y54" si="83">1/0.013*X49^(2/3)*(K49/100)^(1/2)</f>
        <v>1.3282692609335036</v>
      </c>
      <c r="Z49" s="1">
        <f t="shared" ref="Z49:Z54" si="84">PI()*(S49/2)^2</f>
        <v>0.12566370614359174</v>
      </c>
    </row>
    <row r="50" spans="1:26" ht="42" customHeight="1" x14ac:dyDescent="0.25">
      <c r="A50" s="7"/>
      <c r="B50" s="3" t="s">
        <v>16</v>
      </c>
      <c r="C50" s="2" t="s">
        <v>10</v>
      </c>
      <c r="D50" s="2" t="s">
        <v>71</v>
      </c>
      <c r="E50" s="2" t="s">
        <v>11</v>
      </c>
      <c r="F50" s="29" t="s">
        <v>46</v>
      </c>
      <c r="G50" s="29" t="s">
        <v>47</v>
      </c>
      <c r="H50" s="29">
        <v>-5.38</v>
      </c>
      <c r="I50" s="29">
        <v>-5.52</v>
      </c>
      <c r="J50" s="29">
        <v>26.42</v>
      </c>
      <c r="K50" s="29">
        <v>0.5</v>
      </c>
      <c r="L50" s="29">
        <v>3.5999999999999997E-2</v>
      </c>
      <c r="M50" s="29">
        <f t="shared" si="73"/>
        <v>0.66200000000000014</v>
      </c>
      <c r="N50" s="29">
        <f t="shared" si="74"/>
        <v>1.0979999999999998E-2</v>
      </c>
      <c r="O50" s="29">
        <f t="shared" si="75"/>
        <v>0.14090999999999998</v>
      </c>
      <c r="P50" s="29">
        <f t="shared" si="76"/>
        <v>0.16691523808551356</v>
      </c>
      <c r="Q50" s="29" t="str">
        <f t="shared" si="77"/>
        <v>Ok!</v>
      </c>
      <c r="R50" s="9"/>
      <c r="S50" s="1">
        <f t="shared" si="78"/>
        <v>0.4</v>
      </c>
      <c r="T50" s="1">
        <f t="shared" si="56"/>
        <v>0.30000000000000004</v>
      </c>
      <c r="U50" s="1">
        <f t="shared" si="79"/>
        <v>4.1887902047863914</v>
      </c>
      <c r="V50" s="1">
        <f t="shared" si="80"/>
        <v>0.10109631217141664</v>
      </c>
      <c r="W50" s="1">
        <f t="shared" si="81"/>
        <v>0.83775804095727835</v>
      </c>
      <c r="X50" s="1">
        <f t="shared" si="82"/>
        <v>0.12067483357831724</v>
      </c>
      <c r="Y50" s="1">
        <f t="shared" si="83"/>
        <v>1.3282692609335036</v>
      </c>
      <c r="Z50" s="1">
        <f t="shared" si="84"/>
        <v>0.12566370614359174</v>
      </c>
    </row>
    <row r="51" spans="1:26" ht="42" customHeight="1" x14ac:dyDescent="0.25">
      <c r="A51" s="7"/>
      <c r="B51" s="3" t="s">
        <v>18</v>
      </c>
      <c r="C51" s="2" t="s">
        <v>10</v>
      </c>
      <c r="D51" s="2" t="s">
        <v>71</v>
      </c>
      <c r="E51" s="2" t="s">
        <v>11</v>
      </c>
      <c r="F51" s="29" t="s">
        <v>47</v>
      </c>
      <c r="G51" s="29" t="s">
        <v>48</v>
      </c>
      <c r="H51" s="29">
        <v>-5.52</v>
      </c>
      <c r="I51" s="29">
        <v>-5.66</v>
      </c>
      <c r="J51" s="29">
        <v>28.22</v>
      </c>
      <c r="K51" s="29">
        <v>0.5</v>
      </c>
      <c r="L51" s="29">
        <v>2.8000000000000001E-2</v>
      </c>
      <c r="M51" s="29">
        <f t="shared" si="73"/>
        <v>0.69000000000000017</v>
      </c>
      <c r="N51" s="29">
        <f t="shared" si="74"/>
        <v>8.539999999999999E-3</v>
      </c>
      <c r="O51" s="29">
        <f t="shared" si="75"/>
        <v>0.14944999999999997</v>
      </c>
      <c r="P51" s="29">
        <f t="shared" si="76"/>
        <v>0.16691523808551356</v>
      </c>
      <c r="Q51" s="29" t="str">
        <f t="shared" si="77"/>
        <v>Ok!</v>
      </c>
      <c r="R51" s="9"/>
      <c r="S51" s="1">
        <f t="shared" si="78"/>
        <v>0.4</v>
      </c>
      <c r="T51" s="1">
        <f t="shared" si="56"/>
        <v>0.30000000000000004</v>
      </c>
      <c r="U51" s="1">
        <f t="shared" si="79"/>
        <v>4.1887902047863914</v>
      </c>
      <c r="V51" s="1">
        <f t="shared" si="80"/>
        <v>0.10109631217141664</v>
      </c>
      <c r="W51" s="1">
        <f t="shared" si="81"/>
        <v>0.83775804095727835</v>
      </c>
      <c r="X51" s="1">
        <f t="shared" si="82"/>
        <v>0.12067483357831724</v>
      </c>
      <c r="Y51" s="1">
        <f t="shared" si="83"/>
        <v>1.3282692609335036</v>
      </c>
      <c r="Z51" s="1">
        <f t="shared" si="84"/>
        <v>0.12566370614359174</v>
      </c>
    </row>
    <row r="52" spans="1:26" ht="42" customHeight="1" x14ac:dyDescent="0.25">
      <c r="A52" s="7"/>
      <c r="B52" s="3" t="s">
        <v>19</v>
      </c>
      <c r="C52" s="2" t="s">
        <v>10</v>
      </c>
      <c r="D52" s="2" t="s">
        <v>71</v>
      </c>
      <c r="E52" s="2" t="s">
        <v>11</v>
      </c>
      <c r="F52" s="29" t="s">
        <v>48</v>
      </c>
      <c r="G52" s="29" t="s">
        <v>49</v>
      </c>
      <c r="H52" s="29">
        <v>-5.66</v>
      </c>
      <c r="I52" s="29">
        <v>-5.76</v>
      </c>
      <c r="J52" s="29">
        <v>20.260000000000002</v>
      </c>
      <c r="K52" s="29">
        <v>0.49</v>
      </c>
      <c r="L52" s="29">
        <v>2.5999999999999999E-2</v>
      </c>
      <c r="M52" s="29">
        <f t="shared" si="73"/>
        <v>0.71600000000000019</v>
      </c>
      <c r="N52" s="29">
        <f t="shared" si="74"/>
        <v>7.9299999999999995E-3</v>
      </c>
      <c r="O52" s="29">
        <f t="shared" si="75"/>
        <v>0.15737999999999996</v>
      </c>
      <c r="P52" s="29">
        <f t="shared" si="76"/>
        <v>0.16523765542708718</v>
      </c>
      <c r="Q52" s="29" t="str">
        <f t="shared" si="77"/>
        <v>Ok!</v>
      </c>
      <c r="R52" s="9"/>
      <c r="S52" s="1">
        <f t="shared" si="78"/>
        <v>0.4</v>
      </c>
      <c r="T52" s="1">
        <f t="shared" si="56"/>
        <v>0.30000000000000004</v>
      </c>
      <c r="U52" s="1">
        <f t="shared" si="79"/>
        <v>4.1887902047863914</v>
      </c>
      <c r="V52" s="1">
        <f t="shared" si="80"/>
        <v>0.10109631217141664</v>
      </c>
      <c r="W52" s="1">
        <f t="shared" si="81"/>
        <v>0.83775804095727835</v>
      </c>
      <c r="X52" s="1">
        <f t="shared" si="82"/>
        <v>0.12067483357831724</v>
      </c>
      <c r="Y52" s="1">
        <f t="shared" si="83"/>
        <v>1.3149194823068135</v>
      </c>
      <c r="Z52" s="1">
        <f t="shared" si="84"/>
        <v>0.12566370614359174</v>
      </c>
    </row>
    <row r="53" spans="1:26" ht="42" customHeight="1" x14ac:dyDescent="0.25">
      <c r="A53" s="7"/>
      <c r="B53" s="3" t="s">
        <v>20</v>
      </c>
      <c r="C53" s="2" t="s">
        <v>10</v>
      </c>
      <c r="D53" s="2" t="s">
        <v>72</v>
      </c>
      <c r="E53" s="2" t="s">
        <v>11</v>
      </c>
      <c r="F53" s="29" t="s">
        <v>49</v>
      </c>
      <c r="G53" s="29" t="s">
        <v>51</v>
      </c>
      <c r="H53" s="29">
        <v>-5.76</v>
      </c>
      <c r="I53" s="29">
        <v>-5.83</v>
      </c>
      <c r="J53" s="29">
        <v>13.6</v>
      </c>
      <c r="K53" s="29">
        <v>0.52</v>
      </c>
      <c r="L53" s="29">
        <v>2.5999999999999999E-2</v>
      </c>
      <c r="M53" s="29">
        <f t="shared" si="73"/>
        <v>0.74200000000000021</v>
      </c>
      <c r="N53" s="29">
        <f t="shared" si="74"/>
        <v>7.9299999999999995E-3</v>
      </c>
      <c r="O53" s="29">
        <f t="shared" si="75"/>
        <v>0.16530999999999996</v>
      </c>
      <c r="P53" s="29">
        <f t="shared" si="76"/>
        <v>0.50186781689334781</v>
      </c>
      <c r="Q53" s="29" t="str">
        <f t="shared" si="77"/>
        <v>Ok!</v>
      </c>
      <c r="R53" s="9"/>
      <c r="S53" s="1">
        <f t="shared" si="78"/>
        <v>0.6</v>
      </c>
      <c r="T53" s="1">
        <f t="shared" si="56"/>
        <v>0.44999999999999996</v>
      </c>
      <c r="U53" s="1">
        <f t="shared" si="79"/>
        <v>4.1887902047863914</v>
      </c>
      <c r="V53" s="1">
        <f t="shared" si="80"/>
        <v>0.22746670238568736</v>
      </c>
      <c r="W53" s="1">
        <f t="shared" si="81"/>
        <v>1.2566370614359175</v>
      </c>
      <c r="X53" s="1">
        <f t="shared" si="82"/>
        <v>0.18101225036747581</v>
      </c>
      <c r="Y53" s="1">
        <f t="shared" si="83"/>
        <v>1.7749943074958781</v>
      </c>
      <c r="Z53" s="1">
        <f t="shared" si="84"/>
        <v>0.28274333882308139</v>
      </c>
    </row>
    <row r="54" spans="1:26" ht="42" customHeight="1" x14ac:dyDescent="0.25">
      <c r="A54" s="7"/>
      <c r="B54" s="3" t="s">
        <v>21</v>
      </c>
      <c r="C54" s="2" t="s">
        <v>10</v>
      </c>
      <c r="D54" s="2" t="s">
        <v>72</v>
      </c>
      <c r="E54" s="2" t="s">
        <v>11</v>
      </c>
      <c r="F54" s="29" t="s">
        <v>51</v>
      </c>
      <c r="G54" s="29" t="s">
        <v>52</v>
      </c>
      <c r="H54" s="29">
        <v>-5.83</v>
      </c>
      <c r="I54" s="29">
        <v>-5.84</v>
      </c>
      <c r="J54" s="29">
        <v>2.79</v>
      </c>
      <c r="K54" s="29">
        <v>3</v>
      </c>
      <c r="L54" s="29">
        <v>0</v>
      </c>
      <c r="M54" s="29">
        <f t="shared" si="73"/>
        <v>0.74200000000000021</v>
      </c>
      <c r="N54" s="29">
        <f t="shared" si="74"/>
        <v>0</v>
      </c>
      <c r="O54" s="29">
        <f t="shared" si="75"/>
        <v>0.16530999999999996</v>
      </c>
      <c r="P54" s="29">
        <f t="shared" si="76"/>
        <v>1.2054475045998194</v>
      </c>
      <c r="Q54" s="29" t="str">
        <f t="shared" si="77"/>
        <v>Ok!</v>
      </c>
      <c r="R54" s="9"/>
      <c r="S54" s="1">
        <f t="shared" si="78"/>
        <v>0.6</v>
      </c>
      <c r="T54" s="1">
        <f t="shared" si="56"/>
        <v>0.44999999999999996</v>
      </c>
      <c r="U54" s="1">
        <f t="shared" si="79"/>
        <v>4.1887902047863914</v>
      </c>
      <c r="V54" s="1">
        <f t="shared" si="80"/>
        <v>0.22746670238568736</v>
      </c>
      <c r="W54" s="1">
        <f t="shared" si="81"/>
        <v>1.2566370614359175</v>
      </c>
      <c r="X54" s="1">
        <f t="shared" si="82"/>
        <v>0.18101225036747581</v>
      </c>
      <c r="Y54" s="1">
        <f t="shared" si="83"/>
        <v>4.2633984221078114</v>
      </c>
      <c r="Z54" s="1">
        <f t="shared" si="84"/>
        <v>0.28274333882308139</v>
      </c>
    </row>
    <row r="55" spans="1:26" x14ac:dyDescent="0.25">
      <c r="A55" s="7"/>
      <c r="B55" s="8"/>
      <c r="C55" s="8"/>
      <c r="D55" s="8"/>
      <c r="E55" s="8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9"/>
    </row>
    <row r="56" spans="1:26" x14ac:dyDescent="0.25">
      <c r="A56" s="7"/>
      <c r="B56" s="10" t="s">
        <v>59</v>
      </c>
      <c r="C56" s="8"/>
      <c r="D56" s="8"/>
      <c r="E56" s="8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9"/>
    </row>
    <row r="57" spans="1:26" x14ac:dyDescent="0.25">
      <c r="A57" s="7"/>
      <c r="B57" s="11"/>
      <c r="C57" s="8"/>
      <c r="D57" s="8"/>
      <c r="E57" s="8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9"/>
    </row>
    <row r="58" spans="1:26" ht="15" customHeight="1" x14ac:dyDescent="0.25">
      <c r="A58" s="7"/>
      <c r="B58" s="50" t="s">
        <v>0</v>
      </c>
      <c r="C58" s="50" t="s">
        <v>1</v>
      </c>
      <c r="D58" s="50" t="s">
        <v>2</v>
      </c>
      <c r="E58" s="50" t="s">
        <v>3</v>
      </c>
      <c r="F58" s="45" t="s">
        <v>4</v>
      </c>
      <c r="G58" s="45" t="s">
        <v>5</v>
      </c>
      <c r="H58" s="50" t="s">
        <v>6</v>
      </c>
      <c r="I58" s="50" t="s">
        <v>7</v>
      </c>
      <c r="J58" s="45" t="s">
        <v>8</v>
      </c>
      <c r="K58" s="50" t="s">
        <v>9</v>
      </c>
      <c r="L58" s="50" t="s">
        <v>77</v>
      </c>
      <c r="M58" s="50"/>
      <c r="N58" s="42" t="s">
        <v>76</v>
      </c>
      <c r="O58" s="43"/>
      <c r="P58" s="44"/>
      <c r="Q58" s="50" t="s">
        <v>81</v>
      </c>
      <c r="R58" s="9"/>
    </row>
    <row r="59" spans="1:26" ht="15" customHeight="1" x14ac:dyDescent="0.25">
      <c r="A59" s="7"/>
      <c r="B59" s="50"/>
      <c r="C59" s="50"/>
      <c r="D59" s="50"/>
      <c r="E59" s="50"/>
      <c r="F59" s="47"/>
      <c r="G59" s="47"/>
      <c r="H59" s="50"/>
      <c r="I59" s="50"/>
      <c r="J59" s="47"/>
      <c r="K59" s="50"/>
      <c r="L59" s="50" t="s">
        <v>78</v>
      </c>
      <c r="M59" s="50" t="s">
        <v>79</v>
      </c>
      <c r="N59" s="42" t="s">
        <v>80</v>
      </c>
      <c r="O59" s="44"/>
      <c r="P59" s="45" t="s">
        <v>82</v>
      </c>
      <c r="Q59" s="50"/>
      <c r="R59" s="9"/>
    </row>
    <row r="60" spans="1:26" s="38" customFormat="1" x14ac:dyDescent="0.25">
      <c r="A60" s="7"/>
      <c r="B60" s="50"/>
      <c r="C60" s="50"/>
      <c r="D60" s="50"/>
      <c r="E60" s="50"/>
      <c r="F60" s="46"/>
      <c r="G60" s="46"/>
      <c r="H60" s="50"/>
      <c r="I60" s="50"/>
      <c r="J60" s="46"/>
      <c r="K60" s="50"/>
      <c r="L60" s="50"/>
      <c r="M60" s="50"/>
      <c r="N60" s="30" t="s">
        <v>78</v>
      </c>
      <c r="O60" s="30" t="s">
        <v>79</v>
      </c>
      <c r="P60" s="46"/>
      <c r="Q60" s="50"/>
      <c r="R60" s="9"/>
      <c r="S60" s="38" t="s">
        <v>85</v>
      </c>
      <c r="T60" s="38" t="s">
        <v>84</v>
      </c>
      <c r="U60" s="38" t="s">
        <v>83</v>
      </c>
      <c r="V60" s="38" t="s">
        <v>86</v>
      </c>
      <c r="W60" s="38" t="s">
        <v>87</v>
      </c>
      <c r="X60" s="38" t="s">
        <v>88</v>
      </c>
      <c r="Y60" s="38" t="s">
        <v>89</v>
      </c>
      <c r="Z60" s="38" t="s">
        <v>90</v>
      </c>
    </row>
    <row r="61" spans="1:26" ht="35.1" customHeight="1" x14ac:dyDescent="0.25">
      <c r="A61" s="7"/>
      <c r="B61" s="3" t="s">
        <v>13</v>
      </c>
      <c r="C61" s="2" t="s">
        <v>10</v>
      </c>
      <c r="D61" s="2" t="s">
        <v>71</v>
      </c>
      <c r="E61" s="2" t="s">
        <v>11</v>
      </c>
      <c r="F61" s="29" t="s">
        <v>50</v>
      </c>
      <c r="G61" s="29" t="s">
        <v>53</v>
      </c>
      <c r="H61" s="29">
        <v>-4.8499999999999996</v>
      </c>
      <c r="I61" s="29">
        <v>-4.9400000000000004</v>
      </c>
      <c r="J61" s="29">
        <v>20.079999999999998</v>
      </c>
      <c r="K61" s="29">
        <v>0.45</v>
      </c>
      <c r="L61" s="29">
        <v>3.5000000000000003E-2</v>
      </c>
      <c r="M61" s="29">
        <f>L61+M60</f>
        <v>3.5000000000000003E-2</v>
      </c>
      <c r="N61" s="29">
        <f t="shared" ref="N61" si="85">($Q$2*$N$2*L61)/360</f>
        <v>1.0675E-2</v>
      </c>
      <c r="O61" s="29">
        <f>N61</f>
        <v>1.0675E-2</v>
      </c>
      <c r="P61" s="29">
        <f t="shared" ref="P61" si="86">Y61*Z61</f>
        <v>0.15834969856185174</v>
      </c>
      <c r="Q61" s="29" t="str">
        <f t="shared" ref="Q61" si="87">IF(P61&gt;O61,"Ok!","Aumentar D")</f>
        <v>Ok!</v>
      </c>
      <c r="R61" s="9"/>
      <c r="S61" s="1">
        <f t="shared" ref="S61" si="88">IF(D61="Ø 400,00",0.4,IF(D61="Ø 600,00",0.6,IF(D61="Ø 800,00",0.8)))</f>
        <v>0.4</v>
      </c>
      <c r="T61" s="1">
        <f t="shared" ref="T61:T66" si="89">S61*0.75</f>
        <v>0.30000000000000004</v>
      </c>
      <c r="U61" s="1">
        <f t="shared" ref="U61" si="90">(2*ACOS((1-(2*T61)/S61)))</f>
        <v>4.1887902047863914</v>
      </c>
      <c r="V61" s="1">
        <f t="shared" ref="V61" si="91">((U61-SIN(U61))/8)*S61^2</f>
        <v>0.10109631217141664</v>
      </c>
      <c r="W61" s="1">
        <f t="shared" ref="W61" si="92">(U61/2)*S61</f>
        <v>0.83775804095727835</v>
      </c>
      <c r="X61" s="1">
        <f t="shared" ref="X61" si="93">V61/W61</f>
        <v>0.12067483357831724</v>
      </c>
      <c r="Y61" s="1">
        <f t="shared" ref="Y61" si="94">1/0.013*X61^(2/3)*(K61/100)^(1/2)</f>
        <v>1.2601068631615147</v>
      </c>
      <c r="Z61" s="1">
        <f t="shared" ref="Z61" si="95">PI()*(S61/2)^2</f>
        <v>0.12566370614359174</v>
      </c>
    </row>
    <row r="62" spans="1:26" ht="35.1" customHeight="1" x14ac:dyDescent="0.25">
      <c r="A62" s="7"/>
      <c r="B62" s="3" t="s">
        <v>14</v>
      </c>
      <c r="C62" s="2" t="s">
        <v>10</v>
      </c>
      <c r="D62" s="2" t="s">
        <v>71</v>
      </c>
      <c r="E62" s="2" t="s">
        <v>11</v>
      </c>
      <c r="F62" s="29" t="s">
        <v>53</v>
      </c>
      <c r="G62" s="29" t="s">
        <v>54</v>
      </c>
      <c r="H62" s="29">
        <v>-4.9400000000000004</v>
      </c>
      <c r="I62" s="29">
        <v>-5.16</v>
      </c>
      <c r="J62" s="29">
        <v>45.35</v>
      </c>
      <c r="K62" s="29">
        <v>0.5</v>
      </c>
      <c r="L62" s="29">
        <v>2.5000000000000001E-2</v>
      </c>
      <c r="M62" s="29">
        <f>L62+M61</f>
        <v>6.0000000000000005E-2</v>
      </c>
      <c r="N62" s="29">
        <f t="shared" ref="N62" si="96">($Q$2*$N$2*L62)/360</f>
        <v>7.6250000000000007E-3</v>
      </c>
      <c r="O62" s="29">
        <f>N62+O61</f>
        <v>1.83E-2</v>
      </c>
      <c r="P62" s="29">
        <f t="shared" ref="P62" si="97">Y62*Z62</f>
        <v>0.16691523808551356</v>
      </c>
      <c r="Q62" s="29" t="str">
        <f t="shared" ref="Q62" si="98">IF(P62&gt;O62,"Ok!","Aumentar D")</f>
        <v>Ok!</v>
      </c>
      <c r="R62" s="9"/>
      <c r="S62" s="1">
        <f t="shared" ref="S62" si="99">IF(D62="Ø 400,00",0.4,IF(D62="Ø 600,00",0.6,IF(D62="Ø 800,00",0.8)))</f>
        <v>0.4</v>
      </c>
      <c r="T62" s="1">
        <f t="shared" si="89"/>
        <v>0.30000000000000004</v>
      </c>
      <c r="U62" s="1">
        <f t="shared" ref="U62" si="100">(2*ACOS((1-(2*T62)/S62)))</f>
        <v>4.1887902047863914</v>
      </c>
      <c r="V62" s="1">
        <f t="shared" ref="V62" si="101">((U62-SIN(U62))/8)*S62^2</f>
        <v>0.10109631217141664</v>
      </c>
      <c r="W62" s="1">
        <f t="shared" ref="W62" si="102">(U62/2)*S62</f>
        <v>0.83775804095727835</v>
      </c>
      <c r="X62" s="1">
        <f t="shared" ref="X62" si="103">V62/W62</f>
        <v>0.12067483357831724</v>
      </c>
      <c r="Y62" s="1">
        <f t="shared" ref="Y62" si="104">1/0.013*X62^(2/3)*(K62/100)^(1/2)</f>
        <v>1.3282692609335036</v>
      </c>
      <c r="Z62" s="1">
        <f t="shared" ref="Z62" si="105">PI()*(S62/2)^2</f>
        <v>0.12566370614359174</v>
      </c>
    </row>
    <row r="63" spans="1:26" ht="35.1" customHeight="1" x14ac:dyDescent="0.25">
      <c r="A63" s="7"/>
      <c r="B63" s="3" t="s">
        <v>15</v>
      </c>
      <c r="C63" s="2" t="s">
        <v>10</v>
      </c>
      <c r="D63" s="2" t="s">
        <v>71</v>
      </c>
      <c r="E63" s="2" t="s">
        <v>11</v>
      </c>
      <c r="F63" s="29" t="s">
        <v>54</v>
      </c>
      <c r="G63" s="29" t="s">
        <v>55</v>
      </c>
      <c r="H63" s="29">
        <v>-5.16</v>
      </c>
      <c r="I63" s="29">
        <v>-5.26</v>
      </c>
      <c r="J63" s="29">
        <v>19.940000000000001</v>
      </c>
      <c r="K63" s="29">
        <v>0.5</v>
      </c>
      <c r="L63" s="29">
        <v>5.7000000000000002E-2</v>
      </c>
      <c r="M63" s="29">
        <f t="shared" ref="M63:M66" si="106">L63+M62</f>
        <v>0.11700000000000001</v>
      </c>
      <c r="N63" s="29">
        <f t="shared" ref="N63:N66" si="107">($Q$2*$N$2*L63)/360</f>
        <v>1.7385000000000001E-2</v>
      </c>
      <c r="O63" s="29">
        <f t="shared" ref="O63:O66" si="108">N63+O62</f>
        <v>3.5685000000000001E-2</v>
      </c>
      <c r="P63" s="29">
        <f t="shared" ref="P63:P66" si="109">Y63*Z63</f>
        <v>0.16691523808551356</v>
      </c>
      <c r="Q63" s="29" t="str">
        <f t="shared" ref="Q63:Q66" si="110">IF(P63&gt;O63,"Ok!","Aumentar D")</f>
        <v>Ok!</v>
      </c>
      <c r="R63" s="9"/>
      <c r="S63" s="1">
        <f t="shared" ref="S63:S66" si="111">IF(D63="Ø 400,00",0.4,IF(D63="Ø 600,00",0.6,IF(D63="Ø 800,00",0.8)))</f>
        <v>0.4</v>
      </c>
      <c r="T63" s="1">
        <f t="shared" si="89"/>
        <v>0.30000000000000004</v>
      </c>
      <c r="U63" s="1">
        <f t="shared" ref="U63:U66" si="112">(2*ACOS((1-(2*T63)/S63)))</f>
        <v>4.1887902047863914</v>
      </c>
      <c r="V63" s="1">
        <f t="shared" ref="V63:V66" si="113">((U63-SIN(U63))/8)*S63^2</f>
        <v>0.10109631217141664</v>
      </c>
      <c r="W63" s="1">
        <f t="shared" ref="W63:W66" si="114">(U63/2)*S63</f>
        <v>0.83775804095727835</v>
      </c>
      <c r="X63" s="1">
        <f t="shared" ref="X63:X66" si="115">V63/W63</f>
        <v>0.12067483357831724</v>
      </c>
      <c r="Y63" s="1">
        <f t="shared" ref="Y63:Y66" si="116">1/0.013*X63^(2/3)*(K63/100)^(1/2)</f>
        <v>1.3282692609335036</v>
      </c>
      <c r="Z63" s="1">
        <f t="shared" ref="Z63:Z66" si="117">PI()*(S63/2)^2</f>
        <v>0.12566370614359174</v>
      </c>
    </row>
    <row r="64" spans="1:26" ht="35.1" customHeight="1" x14ac:dyDescent="0.25">
      <c r="A64" s="7"/>
      <c r="B64" s="3" t="s">
        <v>16</v>
      </c>
      <c r="C64" s="2" t="s">
        <v>10</v>
      </c>
      <c r="D64" s="2" t="s">
        <v>71</v>
      </c>
      <c r="E64" s="2" t="s">
        <v>11</v>
      </c>
      <c r="F64" s="29" t="s">
        <v>55</v>
      </c>
      <c r="G64" s="29" t="s">
        <v>56</v>
      </c>
      <c r="H64" s="29">
        <v>-5.16</v>
      </c>
      <c r="I64" s="29">
        <v>-5.36</v>
      </c>
      <c r="J64" s="29">
        <v>19.239999999999998</v>
      </c>
      <c r="K64" s="29">
        <v>1.04</v>
      </c>
      <c r="L64" s="29">
        <v>2.5000000000000001E-2</v>
      </c>
      <c r="M64" s="29">
        <f t="shared" si="106"/>
        <v>0.14200000000000002</v>
      </c>
      <c r="N64" s="29">
        <f t="shared" si="107"/>
        <v>7.6250000000000007E-3</v>
      </c>
      <c r="O64" s="29">
        <f t="shared" si="108"/>
        <v>4.3310000000000001E-2</v>
      </c>
      <c r="P64" s="29">
        <f t="shared" si="109"/>
        <v>0.24072857982943954</v>
      </c>
      <c r="Q64" s="29" t="str">
        <f t="shared" si="110"/>
        <v>Ok!</v>
      </c>
      <c r="R64" s="9"/>
      <c r="S64" s="1">
        <f t="shared" si="111"/>
        <v>0.4</v>
      </c>
      <c r="T64" s="1">
        <f t="shared" si="89"/>
        <v>0.30000000000000004</v>
      </c>
      <c r="U64" s="1">
        <f t="shared" si="112"/>
        <v>4.1887902047863914</v>
      </c>
      <c r="V64" s="1">
        <f t="shared" si="113"/>
        <v>0.10109631217141664</v>
      </c>
      <c r="W64" s="1">
        <f t="shared" si="114"/>
        <v>0.83775804095727835</v>
      </c>
      <c r="X64" s="1">
        <f t="shared" si="115"/>
        <v>0.12067483357831724</v>
      </c>
      <c r="Y64" s="1">
        <f t="shared" si="116"/>
        <v>1.9156571711673616</v>
      </c>
      <c r="Z64" s="1">
        <f t="shared" si="117"/>
        <v>0.12566370614359174</v>
      </c>
    </row>
    <row r="65" spans="1:26" ht="35.1" customHeight="1" x14ac:dyDescent="0.25">
      <c r="A65" s="7"/>
      <c r="B65" s="3" t="s">
        <v>18</v>
      </c>
      <c r="C65" s="2" t="s">
        <v>10</v>
      </c>
      <c r="D65" s="2" t="s">
        <v>72</v>
      </c>
      <c r="E65" s="2" t="s">
        <v>11</v>
      </c>
      <c r="F65" s="29" t="s">
        <v>56</v>
      </c>
      <c r="G65" s="29" t="s">
        <v>57</v>
      </c>
      <c r="H65" s="29">
        <v>-5.36</v>
      </c>
      <c r="I65" s="29">
        <v>-5.44</v>
      </c>
      <c r="J65" s="29">
        <v>14.27</v>
      </c>
      <c r="K65" s="29">
        <v>0.53</v>
      </c>
      <c r="L65" s="29">
        <v>0.4</v>
      </c>
      <c r="M65" s="29">
        <f t="shared" si="106"/>
        <v>0.54200000000000004</v>
      </c>
      <c r="N65" s="29">
        <f t="shared" si="107"/>
        <v>0.12200000000000001</v>
      </c>
      <c r="O65" s="29">
        <f t="shared" si="108"/>
        <v>0.16531000000000001</v>
      </c>
      <c r="P65" s="29">
        <f t="shared" si="109"/>
        <v>0.50667048916211932</v>
      </c>
      <c r="Q65" s="29" t="str">
        <f t="shared" si="110"/>
        <v>Ok!</v>
      </c>
      <c r="R65" s="9"/>
      <c r="S65" s="1">
        <f t="shared" si="111"/>
        <v>0.6</v>
      </c>
      <c r="T65" s="1">
        <f t="shared" si="89"/>
        <v>0.44999999999999996</v>
      </c>
      <c r="U65" s="1">
        <f t="shared" si="112"/>
        <v>4.1887902047863914</v>
      </c>
      <c r="V65" s="1">
        <f t="shared" si="113"/>
        <v>0.22746670238568736</v>
      </c>
      <c r="W65" s="1">
        <f t="shared" si="114"/>
        <v>1.2566370614359175</v>
      </c>
      <c r="X65" s="1">
        <f t="shared" si="115"/>
        <v>0.18101225036747581</v>
      </c>
      <c r="Y65" s="1">
        <f t="shared" si="116"/>
        <v>1.7919802859764418</v>
      </c>
      <c r="Z65" s="1">
        <f t="shared" si="117"/>
        <v>0.28274333882308139</v>
      </c>
    </row>
    <row r="66" spans="1:26" ht="35.1" customHeight="1" x14ac:dyDescent="0.25">
      <c r="A66" s="7"/>
      <c r="B66" s="3" t="s">
        <v>19</v>
      </c>
      <c r="C66" s="2" t="s">
        <v>10</v>
      </c>
      <c r="D66" s="2" t="s">
        <v>72</v>
      </c>
      <c r="E66" s="2" t="s">
        <v>11</v>
      </c>
      <c r="F66" s="29" t="s">
        <v>57</v>
      </c>
      <c r="G66" s="29" t="s">
        <v>58</v>
      </c>
      <c r="H66" s="29">
        <v>-5.44</v>
      </c>
      <c r="I66" s="29">
        <v>-5.55</v>
      </c>
      <c r="J66" s="29">
        <v>8.0299999999999994</v>
      </c>
      <c r="K66" s="29">
        <v>1.38</v>
      </c>
      <c r="L66" s="29">
        <v>0.5</v>
      </c>
      <c r="M66" s="29">
        <f t="shared" si="106"/>
        <v>1.042</v>
      </c>
      <c r="N66" s="29">
        <f t="shared" si="107"/>
        <v>0.1525</v>
      </c>
      <c r="O66" s="29">
        <f t="shared" si="108"/>
        <v>0.31781000000000004</v>
      </c>
      <c r="P66" s="29">
        <f t="shared" si="109"/>
        <v>0.81757427535308913</v>
      </c>
      <c r="Q66" s="29" t="str">
        <f t="shared" si="110"/>
        <v>Ok!</v>
      </c>
      <c r="R66" s="9"/>
      <c r="S66" s="1">
        <f t="shared" si="111"/>
        <v>0.6</v>
      </c>
      <c r="T66" s="1">
        <f t="shared" si="89"/>
        <v>0.44999999999999996</v>
      </c>
      <c r="U66" s="1">
        <f t="shared" si="112"/>
        <v>4.1887902047863914</v>
      </c>
      <c r="V66" s="1">
        <f t="shared" si="113"/>
        <v>0.22746670238568736</v>
      </c>
      <c r="W66" s="1">
        <f t="shared" si="114"/>
        <v>1.2566370614359175</v>
      </c>
      <c r="X66" s="1">
        <f t="shared" si="115"/>
        <v>0.18101225036747581</v>
      </c>
      <c r="Y66" s="1">
        <f t="shared" si="116"/>
        <v>2.8915774948270769</v>
      </c>
      <c r="Z66" s="1">
        <f t="shared" si="117"/>
        <v>0.28274333882308139</v>
      </c>
    </row>
    <row r="67" spans="1:26" x14ac:dyDescent="0.25">
      <c r="A67" s="7"/>
      <c r="B67" s="8"/>
      <c r="C67" s="8"/>
      <c r="D67" s="8"/>
      <c r="E67" s="8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9"/>
    </row>
    <row r="68" spans="1:26" x14ac:dyDescent="0.25">
      <c r="A68" s="7"/>
      <c r="B68" s="10" t="s">
        <v>60</v>
      </c>
      <c r="C68" s="8"/>
      <c r="D68" s="8"/>
      <c r="E68" s="8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9"/>
    </row>
    <row r="69" spans="1:26" x14ac:dyDescent="0.25">
      <c r="A69" s="7"/>
      <c r="B69" s="11"/>
      <c r="C69" s="8"/>
      <c r="D69" s="8"/>
      <c r="E69" s="8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9"/>
    </row>
    <row r="70" spans="1:26" ht="15" customHeight="1" x14ac:dyDescent="0.25">
      <c r="A70" s="7"/>
      <c r="B70" s="50" t="s">
        <v>0</v>
      </c>
      <c r="C70" s="50" t="s">
        <v>1</v>
      </c>
      <c r="D70" s="50" t="s">
        <v>2</v>
      </c>
      <c r="E70" s="50" t="s">
        <v>3</v>
      </c>
      <c r="F70" s="45" t="s">
        <v>4</v>
      </c>
      <c r="G70" s="45" t="s">
        <v>5</v>
      </c>
      <c r="H70" s="50" t="s">
        <v>6</v>
      </c>
      <c r="I70" s="50" t="s">
        <v>7</v>
      </c>
      <c r="J70" s="45" t="s">
        <v>8</v>
      </c>
      <c r="K70" s="50" t="s">
        <v>9</v>
      </c>
      <c r="L70" s="50" t="s">
        <v>77</v>
      </c>
      <c r="M70" s="50"/>
      <c r="N70" s="42" t="s">
        <v>76</v>
      </c>
      <c r="O70" s="43"/>
      <c r="P70" s="44"/>
      <c r="Q70" s="50" t="s">
        <v>81</v>
      </c>
      <c r="R70" s="9"/>
    </row>
    <row r="71" spans="1:26" ht="15" customHeight="1" x14ac:dyDescent="0.25">
      <c r="A71" s="7"/>
      <c r="B71" s="50"/>
      <c r="C71" s="50"/>
      <c r="D71" s="50"/>
      <c r="E71" s="50"/>
      <c r="F71" s="47"/>
      <c r="G71" s="47"/>
      <c r="H71" s="50"/>
      <c r="I71" s="50"/>
      <c r="J71" s="47"/>
      <c r="K71" s="50"/>
      <c r="L71" s="50" t="s">
        <v>78</v>
      </c>
      <c r="M71" s="50" t="s">
        <v>79</v>
      </c>
      <c r="N71" s="42" t="s">
        <v>80</v>
      </c>
      <c r="O71" s="44"/>
      <c r="P71" s="45" t="s">
        <v>82</v>
      </c>
      <c r="Q71" s="50"/>
      <c r="R71" s="9"/>
    </row>
    <row r="72" spans="1:26" s="38" customFormat="1" x14ac:dyDescent="0.25">
      <c r="A72" s="7"/>
      <c r="B72" s="50"/>
      <c r="C72" s="50"/>
      <c r="D72" s="50"/>
      <c r="E72" s="50"/>
      <c r="F72" s="46"/>
      <c r="G72" s="46"/>
      <c r="H72" s="50"/>
      <c r="I72" s="50"/>
      <c r="J72" s="46"/>
      <c r="K72" s="50"/>
      <c r="L72" s="50"/>
      <c r="M72" s="50"/>
      <c r="N72" s="30" t="s">
        <v>78</v>
      </c>
      <c r="O72" s="30" t="s">
        <v>79</v>
      </c>
      <c r="P72" s="46"/>
      <c r="Q72" s="50"/>
      <c r="R72" s="9"/>
      <c r="S72" s="38" t="s">
        <v>85</v>
      </c>
      <c r="T72" s="38" t="s">
        <v>84</v>
      </c>
      <c r="U72" s="38" t="s">
        <v>83</v>
      </c>
      <c r="V72" s="38" t="s">
        <v>86</v>
      </c>
      <c r="W72" s="38" t="s">
        <v>87</v>
      </c>
      <c r="X72" s="38" t="s">
        <v>88</v>
      </c>
      <c r="Y72" s="38" t="s">
        <v>89</v>
      </c>
      <c r="Z72" s="38" t="s">
        <v>90</v>
      </c>
    </row>
    <row r="73" spans="1:26" ht="35.1" customHeight="1" x14ac:dyDescent="0.25">
      <c r="A73" s="7"/>
      <c r="B73" s="3" t="s">
        <v>13</v>
      </c>
      <c r="C73" s="2" t="s">
        <v>10</v>
      </c>
      <c r="D73" s="2" t="s">
        <v>71</v>
      </c>
      <c r="E73" s="2" t="s">
        <v>11</v>
      </c>
      <c r="F73" s="29" t="s">
        <v>61</v>
      </c>
      <c r="G73" s="29" t="s">
        <v>62</v>
      </c>
      <c r="H73" s="29">
        <v>-5</v>
      </c>
      <c r="I73" s="29">
        <v>-5.6</v>
      </c>
      <c r="J73" s="29">
        <v>19.87</v>
      </c>
      <c r="K73" s="29">
        <v>0.5</v>
      </c>
      <c r="L73" s="29">
        <v>7.4999999999999997E-2</v>
      </c>
      <c r="M73" s="29">
        <f t="shared" ref="M73" si="118">L73+M72</f>
        <v>7.4999999999999997E-2</v>
      </c>
      <c r="N73" s="29">
        <f t="shared" ref="N73" si="119">($Q$2*$N$2*L73)/360</f>
        <v>2.2875E-2</v>
      </c>
      <c r="O73" s="29">
        <f>N73</f>
        <v>2.2875E-2</v>
      </c>
      <c r="P73" s="29">
        <f t="shared" ref="P73" si="120">Y73*Z73</f>
        <v>0.16691523808551356</v>
      </c>
      <c r="Q73" s="29" t="str">
        <f t="shared" ref="Q73" si="121">IF(P73&gt;O73,"Ok!","Aumentar D")</f>
        <v>Ok!</v>
      </c>
      <c r="R73" s="9"/>
      <c r="S73" s="1">
        <f t="shared" ref="S73" si="122">IF(D73="Ø 400,00",0.4,IF(D73="Ø 600,00",0.6,IF(D73="Ø 800,00",0.8)))</f>
        <v>0.4</v>
      </c>
      <c r="T73" s="1">
        <f t="shared" ref="T73:T75" si="123">S73*0.75</f>
        <v>0.30000000000000004</v>
      </c>
      <c r="U73" s="1">
        <f t="shared" ref="U73" si="124">(2*ACOS((1-(2*T73)/S73)))</f>
        <v>4.1887902047863914</v>
      </c>
      <c r="V73" s="1">
        <f t="shared" ref="V73" si="125">((U73-SIN(U73))/8)*S73^2</f>
        <v>0.10109631217141664</v>
      </c>
      <c r="W73" s="1">
        <f t="shared" ref="W73" si="126">(U73/2)*S73</f>
        <v>0.83775804095727835</v>
      </c>
      <c r="X73" s="1">
        <f t="shared" ref="X73" si="127">V73/W73</f>
        <v>0.12067483357831724</v>
      </c>
      <c r="Y73" s="1">
        <f t="shared" ref="Y73" si="128">1/0.013*X73^(2/3)*(K73/100)^(1/2)</f>
        <v>1.3282692609335036</v>
      </c>
      <c r="Z73" s="1">
        <f t="shared" ref="Z73" si="129">PI()*(S73/2)^2</f>
        <v>0.12566370614359174</v>
      </c>
    </row>
    <row r="74" spans="1:26" ht="35.1" customHeight="1" x14ac:dyDescent="0.25">
      <c r="A74" s="7"/>
      <c r="B74" s="3" t="s">
        <v>14</v>
      </c>
      <c r="C74" s="2" t="s">
        <v>10</v>
      </c>
      <c r="D74" s="2" t="s">
        <v>71</v>
      </c>
      <c r="E74" s="2" t="s">
        <v>11</v>
      </c>
      <c r="F74" s="29" t="s">
        <v>62</v>
      </c>
      <c r="G74" s="29" t="s">
        <v>63</v>
      </c>
      <c r="H74" s="29">
        <v>-5.6</v>
      </c>
      <c r="I74" s="29">
        <v>-5.67</v>
      </c>
      <c r="J74" s="29">
        <v>13.85</v>
      </c>
      <c r="K74" s="29">
        <v>0.49</v>
      </c>
      <c r="L74" s="29">
        <f>0.0956</f>
        <v>9.5600000000000004E-2</v>
      </c>
      <c r="M74" s="29">
        <f t="shared" ref="M74" si="130">L74+M73</f>
        <v>0.1706</v>
      </c>
      <c r="N74" s="29">
        <f t="shared" ref="N74" si="131">($Q$2*$N$2*L74)/360</f>
        <v>2.9158000000000003E-2</v>
      </c>
      <c r="O74" s="29">
        <f>N74+O73</f>
        <v>5.2033000000000003E-2</v>
      </c>
      <c r="P74" s="29">
        <f t="shared" ref="P74" si="132">Y74*Z74</f>
        <v>0.16523765542708718</v>
      </c>
      <c r="Q74" s="29" t="str">
        <f t="shared" ref="Q74" si="133">IF(P74&gt;O74,"Ok!","Aumentar D")</f>
        <v>Ok!</v>
      </c>
      <c r="R74" s="9"/>
      <c r="S74" s="1">
        <f t="shared" ref="S74" si="134">IF(D74="Ø 400,00",0.4,IF(D74="Ø 600,00",0.6,IF(D74="Ø 800,00",0.8)))</f>
        <v>0.4</v>
      </c>
      <c r="T74" s="1">
        <f t="shared" si="123"/>
        <v>0.30000000000000004</v>
      </c>
      <c r="U74" s="1">
        <f t="shared" ref="U74" si="135">(2*ACOS((1-(2*T74)/S74)))</f>
        <v>4.1887902047863914</v>
      </c>
      <c r="V74" s="1">
        <f t="shared" ref="V74" si="136">((U74-SIN(U74))/8)*S74^2</f>
        <v>0.10109631217141664</v>
      </c>
      <c r="W74" s="1">
        <f t="shared" ref="W74" si="137">(U74/2)*S74</f>
        <v>0.83775804095727835</v>
      </c>
      <c r="X74" s="1">
        <f t="shared" ref="X74" si="138">V74/W74</f>
        <v>0.12067483357831724</v>
      </c>
      <c r="Y74" s="1">
        <f t="shared" ref="Y74" si="139">1/0.013*X74^(2/3)*(K74/100)^(1/2)</f>
        <v>1.3149194823068135</v>
      </c>
      <c r="Z74" s="1">
        <f t="shared" ref="Z74" si="140">PI()*(S74/2)^2</f>
        <v>0.12566370614359174</v>
      </c>
    </row>
    <row r="75" spans="1:26" ht="35.1" customHeight="1" x14ac:dyDescent="0.25">
      <c r="A75" s="7"/>
      <c r="B75" s="3" t="s">
        <v>15</v>
      </c>
      <c r="C75" s="2" t="s">
        <v>10</v>
      </c>
      <c r="D75" s="2" t="s">
        <v>71</v>
      </c>
      <c r="E75" s="2" t="s">
        <v>11</v>
      </c>
      <c r="F75" s="29" t="s">
        <v>63</v>
      </c>
      <c r="G75" s="29" t="s">
        <v>64</v>
      </c>
      <c r="H75" s="29">
        <v>-5.67</v>
      </c>
      <c r="I75" s="29">
        <v>-5.74</v>
      </c>
      <c r="J75" s="29">
        <v>14.84</v>
      </c>
      <c r="K75" s="29">
        <v>0.52</v>
      </c>
      <c r="L75" s="29">
        <f>0.025</f>
        <v>2.5000000000000001E-2</v>
      </c>
      <c r="M75" s="29">
        <f t="shared" ref="M75" si="141">L75+M74</f>
        <v>0.1956</v>
      </c>
      <c r="N75" s="29">
        <f t="shared" ref="N75" si="142">($Q$2*$N$2*L75)/360</f>
        <v>7.6250000000000007E-3</v>
      </c>
      <c r="O75" s="29">
        <f>N75+O74</f>
        <v>5.9658000000000003E-2</v>
      </c>
      <c r="P75" s="29">
        <f t="shared" ref="P75" si="143">Y75*Z75</f>
        <v>0.17022081122280383</v>
      </c>
      <c r="Q75" s="29" t="str">
        <f t="shared" ref="Q75" si="144">IF(P75&gt;O75,"Ok!","Aumentar D")</f>
        <v>Ok!</v>
      </c>
      <c r="R75" s="9"/>
      <c r="S75" s="1">
        <f t="shared" ref="S75" si="145">IF(D75="Ø 400,00",0.4,IF(D75="Ø 600,00",0.6,IF(D75="Ø 800,00",0.8)))</f>
        <v>0.4</v>
      </c>
      <c r="T75" s="1">
        <f t="shared" si="123"/>
        <v>0.30000000000000004</v>
      </c>
      <c r="U75" s="1">
        <f t="shared" ref="U75" si="146">(2*ACOS((1-(2*T75)/S75)))</f>
        <v>4.1887902047863914</v>
      </c>
      <c r="V75" s="1">
        <f t="shared" ref="V75" si="147">((U75-SIN(U75))/8)*S75^2</f>
        <v>0.10109631217141664</v>
      </c>
      <c r="W75" s="1">
        <f t="shared" ref="W75" si="148">(U75/2)*S75</f>
        <v>0.83775804095727835</v>
      </c>
      <c r="X75" s="1">
        <f t="shared" ref="X75" si="149">V75/W75</f>
        <v>0.12067483357831724</v>
      </c>
      <c r="Y75" s="1">
        <f t="shared" ref="Y75" si="150">1/0.013*X75^(2/3)*(K75/100)^(1/2)</f>
        <v>1.3545741761610801</v>
      </c>
      <c r="Z75" s="1">
        <f t="shared" ref="Z75" si="151">PI()*(S75/2)^2</f>
        <v>0.12566370614359174</v>
      </c>
    </row>
    <row r="76" spans="1:26" ht="26.25" customHeight="1" x14ac:dyDescent="0.25">
      <c r="A76" s="7"/>
      <c r="B76" s="8"/>
      <c r="C76" s="8"/>
      <c r="D76" s="8"/>
      <c r="E76" s="8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9"/>
    </row>
    <row r="77" spans="1:26" ht="49.5" customHeight="1" x14ac:dyDescent="0.25">
      <c r="A77" s="7"/>
      <c r="B77" s="8"/>
      <c r="C77" s="8"/>
      <c r="D77" s="8"/>
      <c r="E77" s="8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9"/>
    </row>
    <row r="78" spans="1:26" ht="49.5" customHeight="1" x14ac:dyDescent="0.25">
      <c r="A78" s="7"/>
      <c r="B78" s="8"/>
      <c r="C78" s="8"/>
      <c r="D78" s="8"/>
      <c r="E78" s="8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9"/>
    </row>
    <row r="79" spans="1:26" ht="49.5" customHeight="1" x14ac:dyDescent="0.25">
      <c r="A79" s="7"/>
      <c r="B79" s="8"/>
      <c r="C79" s="8"/>
      <c r="D79" s="8"/>
      <c r="E79" s="8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9"/>
    </row>
    <row r="80" spans="1:26" ht="49.5" customHeight="1" thickBot="1" x14ac:dyDescent="0.3">
      <c r="A80" s="13"/>
      <c r="B80" s="14"/>
      <c r="C80" s="14"/>
      <c r="D80" s="14"/>
      <c r="E80" s="14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5"/>
    </row>
    <row r="81" spans="1:26" ht="42" customHeight="1" x14ac:dyDescent="0.25">
      <c r="A81" s="4"/>
      <c r="B81" s="21"/>
      <c r="C81" s="22"/>
      <c r="D81" s="22"/>
      <c r="E81" s="22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6"/>
    </row>
    <row r="82" spans="1:26" ht="42" customHeight="1" x14ac:dyDescent="0.25">
      <c r="A82" s="7"/>
      <c r="B82" s="3" t="s">
        <v>13</v>
      </c>
      <c r="C82" s="2" t="s">
        <v>10</v>
      </c>
      <c r="D82" s="2" t="s">
        <v>72</v>
      </c>
      <c r="E82" s="2" t="s">
        <v>11</v>
      </c>
      <c r="F82" s="29" t="s">
        <v>65</v>
      </c>
      <c r="G82" s="29" t="s">
        <v>66</v>
      </c>
      <c r="H82" s="29">
        <v>-5.03</v>
      </c>
      <c r="I82" s="29">
        <v>-5.23</v>
      </c>
      <c r="J82" s="29">
        <v>39.28</v>
      </c>
      <c r="K82" s="29">
        <v>0.51</v>
      </c>
      <c r="L82" s="29">
        <v>0.8</v>
      </c>
      <c r="M82" s="29">
        <f t="shared" ref="M82:M87" si="152">L82+M81</f>
        <v>0.8</v>
      </c>
      <c r="N82" s="29">
        <f>($Q$2*$N$2*L82)/360</f>
        <v>0.24400000000000002</v>
      </c>
      <c r="O82" s="29">
        <f>N82+O81</f>
        <v>0.24400000000000002</v>
      </c>
      <c r="P82" s="29">
        <f t="shared" ref="P82" si="153">Y82*Z82</f>
        <v>0.49701873876022873</v>
      </c>
      <c r="Q82" s="29" t="str">
        <f t="shared" ref="Q82" si="154">IF(P82&gt;O82,"Ok!","Aumentar D")</f>
        <v>Ok!</v>
      </c>
      <c r="R82" s="9"/>
      <c r="S82" s="1">
        <f t="shared" ref="S82" si="155">IF(D82="Ø 400,00",0.4,IF(D82="Ø 600,00",0.6,IF(D82="Ø 800,00",0.8)))</f>
        <v>0.6</v>
      </c>
      <c r="T82" s="1">
        <f t="shared" ref="T82:T87" si="156">S82*0.75</f>
        <v>0.44999999999999996</v>
      </c>
      <c r="U82" s="1">
        <f t="shared" ref="U82" si="157">(2*ACOS((1-(2*T82)/S82)))</f>
        <v>4.1887902047863914</v>
      </c>
      <c r="V82" s="1">
        <f t="shared" ref="V82" si="158">((U82-SIN(U82))/8)*S82^2</f>
        <v>0.22746670238568736</v>
      </c>
      <c r="W82" s="1">
        <f t="shared" ref="W82" si="159">(U82/2)*S82</f>
        <v>1.2566370614359175</v>
      </c>
      <c r="X82" s="1">
        <f t="shared" ref="X82" si="160">V82/W82</f>
        <v>0.18101225036747581</v>
      </c>
      <c r="Y82" s="1">
        <f t="shared" ref="Y82" si="161">1/0.013*X82^(2/3)*(K82/100)^(1/2)</f>
        <v>1.7578442018442177</v>
      </c>
      <c r="Z82" s="1">
        <f t="shared" ref="Z82" si="162">PI()*(S82/2)^2</f>
        <v>0.28274333882308139</v>
      </c>
    </row>
    <row r="83" spans="1:26" ht="42" customHeight="1" x14ac:dyDescent="0.25">
      <c r="A83" s="7"/>
      <c r="B83" s="3" t="s">
        <v>14</v>
      </c>
      <c r="C83" s="2" t="s">
        <v>10</v>
      </c>
      <c r="D83" s="2" t="s">
        <v>72</v>
      </c>
      <c r="E83" s="2" t="s">
        <v>11</v>
      </c>
      <c r="F83" s="29" t="s">
        <v>66</v>
      </c>
      <c r="G83" s="29" t="s">
        <v>67</v>
      </c>
      <c r="H83" s="29">
        <v>-5.23</v>
      </c>
      <c r="I83" s="29">
        <v>-5.43</v>
      </c>
      <c r="J83" s="29">
        <v>39.979999999999997</v>
      </c>
      <c r="K83" s="29">
        <v>0.5</v>
      </c>
      <c r="L83" s="29">
        <v>0.06</v>
      </c>
      <c r="M83" s="29">
        <f t="shared" si="152"/>
        <v>0.8600000000000001</v>
      </c>
      <c r="N83" s="29">
        <f t="shared" ref="N83:N87" si="163">($Q$2*$N$2*L83)/360</f>
        <v>1.8299999999999997E-2</v>
      </c>
      <c r="O83" s="29">
        <f t="shared" ref="O83:O86" si="164">N83+O82</f>
        <v>0.26230000000000003</v>
      </c>
      <c r="P83" s="29">
        <f t="shared" ref="P83:P87" si="165">Y83*Z83</f>
        <v>0.49212188299680604</v>
      </c>
      <c r="Q83" s="29" t="str">
        <f t="shared" ref="Q83:Q87" si="166">IF(P83&gt;O83,"Ok!","Aumentar D")</f>
        <v>Ok!</v>
      </c>
      <c r="R83" s="9"/>
      <c r="S83" s="1">
        <f t="shared" ref="S83:S87" si="167">IF(D83="Ø 400,00",0.4,IF(D83="Ø 600,00",0.6,IF(D83="Ø 800,00",0.8)))</f>
        <v>0.6</v>
      </c>
      <c r="T83" s="1">
        <f t="shared" si="156"/>
        <v>0.44999999999999996</v>
      </c>
      <c r="U83" s="1">
        <f t="shared" ref="U83:U87" si="168">(2*ACOS((1-(2*T83)/S83)))</f>
        <v>4.1887902047863914</v>
      </c>
      <c r="V83" s="1">
        <f t="shared" ref="V83:V87" si="169">((U83-SIN(U83))/8)*S83^2</f>
        <v>0.22746670238568736</v>
      </c>
      <c r="W83" s="1">
        <f t="shared" ref="W83:W87" si="170">(U83/2)*S83</f>
        <v>1.2566370614359175</v>
      </c>
      <c r="X83" s="1">
        <f t="shared" ref="X83:X87" si="171">V83/W83</f>
        <v>0.18101225036747581</v>
      </c>
      <c r="Y83" s="1">
        <f t="shared" ref="Y83:Y87" si="172">1/0.013*X83^(2/3)*(K83/100)^(1/2)</f>
        <v>1.7405251173918452</v>
      </c>
      <c r="Z83" s="1">
        <f t="shared" ref="Z83:Z87" si="173">PI()*(S83/2)^2</f>
        <v>0.28274333882308139</v>
      </c>
    </row>
    <row r="84" spans="1:26" ht="42" customHeight="1" x14ac:dyDescent="0.25">
      <c r="A84" s="7"/>
      <c r="B84" s="3" t="s">
        <v>15</v>
      </c>
      <c r="C84" s="2" t="s">
        <v>10</v>
      </c>
      <c r="D84" s="2" t="s">
        <v>72</v>
      </c>
      <c r="E84" s="2" t="s">
        <v>11</v>
      </c>
      <c r="F84" s="29" t="s">
        <v>67</v>
      </c>
      <c r="G84" s="29" t="s">
        <v>68</v>
      </c>
      <c r="H84" s="29">
        <v>-5.43</v>
      </c>
      <c r="I84" s="29">
        <v>-5.68</v>
      </c>
      <c r="J84" s="29">
        <v>50.46</v>
      </c>
      <c r="K84" s="29">
        <v>0.5</v>
      </c>
      <c r="L84" s="29">
        <v>6.5000000000000002E-2</v>
      </c>
      <c r="M84" s="29">
        <f t="shared" si="152"/>
        <v>0.92500000000000004</v>
      </c>
      <c r="N84" s="29">
        <f t="shared" si="163"/>
        <v>1.9825000000000002E-2</v>
      </c>
      <c r="O84" s="29">
        <f t="shared" si="164"/>
        <v>0.28212500000000001</v>
      </c>
      <c r="P84" s="29">
        <f t="shared" si="165"/>
        <v>0.49212188299680604</v>
      </c>
      <c r="Q84" s="29" t="str">
        <f t="shared" si="166"/>
        <v>Ok!</v>
      </c>
      <c r="R84" s="9"/>
      <c r="S84" s="1">
        <f t="shared" si="167"/>
        <v>0.6</v>
      </c>
      <c r="T84" s="1">
        <f t="shared" si="156"/>
        <v>0.44999999999999996</v>
      </c>
      <c r="U84" s="1">
        <f t="shared" si="168"/>
        <v>4.1887902047863914</v>
      </c>
      <c r="V84" s="1">
        <f t="shared" si="169"/>
        <v>0.22746670238568736</v>
      </c>
      <c r="W84" s="1">
        <f t="shared" si="170"/>
        <v>1.2566370614359175</v>
      </c>
      <c r="X84" s="1">
        <f t="shared" si="171"/>
        <v>0.18101225036747581</v>
      </c>
      <c r="Y84" s="1">
        <f t="shared" si="172"/>
        <v>1.7405251173918452</v>
      </c>
      <c r="Z84" s="1">
        <f t="shared" si="173"/>
        <v>0.28274333882308139</v>
      </c>
    </row>
    <row r="85" spans="1:26" ht="42" customHeight="1" x14ac:dyDescent="0.25">
      <c r="A85" s="7"/>
      <c r="B85" s="3" t="s">
        <v>16</v>
      </c>
      <c r="C85" s="2" t="s">
        <v>10</v>
      </c>
      <c r="D85" s="2" t="s">
        <v>72</v>
      </c>
      <c r="E85" s="2" t="s">
        <v>11</v>
      </c>
      <c r="F85" s="29" t="s">
        <v>68</v>
      </c>
      <c r="G85" s="29" t="s">
        <v>69</v>
      </c>
      <c r="H85" s="29">
        <v>-5.68</v>
      </c>
      <c r="I85" s="29">
        <v>-5.75</v>
      </c>
      <c r="J85" s="29">
        <v>14.68</v>
      </c>
      <c r="K85" s="29">
        <v>0.51</v>
      </c>
      <c r="L85" s="29">
        <v>0.02</v>
      </c>
      <c r="M85" s="29">
        <f t="shared" si="152"/>
        <v>0.94500000000000006</v>
      </c>
      <c r="N85" s="29">
        <f t="shared" si="163"/>
        <v>6.1000000000000004E-3</v>
      </c>
      <c r="O85" s="29">
        <f t="shared" si="164"/>
        <v>0.28822500000000001</v>
      </c>
      <c r="P85" s="29">
        <f t="shared" si="165"/>
        <v>0.49701873876022873</v>
      </c>
      <c r="Q85" s="29" t="str">
        <f t="shared" si="166"/>
        <v>Ok!</v>
      </c>
      <c r="R85" s="9"/>
      <c r="S85" s="1">
        <f t="shared" si="167"/>
        <v>0.6</v>
      </c>
      <c r="T85" s="1">
        <f t="shared" si="156"/>
        <v>0.44999999999999996</v>
      </c>
      <c r="U85" s="1">
        <f t="shared" si="168"/>
        <v>4.1887902047863914</v>
      </c>
      <c r="V85" s="1">
        <f t="shared" si="169"/>
        <v>0.22746670238568736</v>
      </c>
      <c r="W85" s="1">
        <f t="shared" si="170"/>
        <v>1.2566370614359175</v>
      </c>
      <c r="X85" s="1">
        <f t="shared" si="171"/>
        <v>0.18101225036747581</v>
      </c>
      <c r="Y85" s="1">
        <f t="shared" si="172"/>
        <v>1.7578442018442177</v>
      </c>
      <c r="Z85" s="1">
        <f t="shared" si="173"/>
        <v>0.28274333882308139</v>
      </c>
    </row>
    <row r="86" spans="1:26" ht="42" customHeight="1" x14ac:dyDescent="0.25">
      <c r="A86" s="7"/>
      <c r="B86" s="3" t="s">
        <v>18</v>
      </c>
      <c r="C86" s="2" t="s">
        <v>10</v>
      </c>
      <c r="D86" s="2" t="s">
        <v>72</v>
      </c>
      <c r="E86" s="2" t="s">
        <v>11</v>
      </c>
      <c r="F86" s="29" t="s">
        <v>69</v>
      </c>
      <c r="G86" s="29" t="s">
        <v>64</v>
      </c>
      <c r="H86" s="29">
        <v>-5.75</v>
      </c>
      <c r="I86" s="29">
        <v>-5.95</v>
      </c>
      <c r="J86" s="29">
        <v>39.39</v>
      </c>
      <c r="K86" s="29">
        <v>0.51</v>
      </c>
      <c r="L86" s="29">
        <v>0.03</v>
      </c>
      <c r="M86" s="29">
        <f t="shared" si="152"/>
        <v>0.97500000000000009</v>
      </c>
      <c r="N86" s="29">
        <f t="shared" si="163"/>
        <v>9.1499999999999984E-3</v>
      </c>
      <c r="O86" s="29">
        <f t="shared" si="164"/>
        <v>0.297375</v>
      </c>
      <c r="P86" s="29">
        <f t="shared" si="165"/>
        <v>0.49701873876022873</v>
      </c>
      <c r="Q86" s="29" t="str">
        <f t="shared" si="166"/>
        <v>Ok!</v>
      </c>
      <c r="R86" s="9"/>
      <c r="S86" s="1">
        <f t="shared" si="167"/>
        <v>0.6</v>
      </c>
      <c r="T86" s="1">
        <f t="shared" si="156"/>
        <v>0.44999999999999996</v>
      </c>
      <c r="U86" s="1">
        <f t="shared" si="168"/>
        <v>4.1887902047863914</v>
      </c>
      <c r="V86" s="1">
        <f t="shared" si="169"/>
        <v>0.22746670238568736</v>
      </c>
      <c r="W86" s="1">
        <f t="shared" si="170"/>
        <v>1.2566370614359175</v>
      </c>
      <c r="X86" s="1">
        <f t="shared" si="171"/>
        <v>0.18101225036747581</v>
      </c>
      <c r="Y86" s="1">
        <f t="shared" si="172"/>
        <v>1.7578442018442177</v>
      </c>
      <c r="Z86" s="1">
        <f t="shared" si="173"/>
        <v>0.28274333882308139</v>
      </c>
    </row>
    <row r="87" spans="1:26" ht="42" customHeight="1" x14ac:dyDescent="0.25">
      <c r="A87" s="7"/>
      <c r="B87" s="3" t="s">
        <v>19</v>
      </c>
      <c r="C87" s="2" t="s">
        <v>10</v>
      </c>
      <c r="D87" s="2" t="s">
        <v>73</v>
      </c>
      <c r="E87" s="2" t="s">
        <v>11</v>
      </c>
      <c r="F87" s="29" t="s">
        <v>64</v>
      </c>
      <c r="G87" s="29" t="s">
        <v>70</v>
      </c>
      <c r="H87" s="29">
        <v>-5.95</v>
      </c>
      <c r="I87" s="29">
        <v>-6.1</v>
      </c>
      <c r="J87" s="29">
        <v>21.22</v>
      </c>
      <c r="K87" s="29">
        <v>0.68</v>
      </c>
      <c r="L87" s="29">
        <v>0.05</v>
      </c>
      <c r="M87" s="29">
        <f t="shared" si="152"/>
        <v>1.0250000000000001</v>
      </c>
      <c r="N87" s="29">
        <f t="shared" si="163"/>
        <v>1.5250000000000001E-2</v>
      </c>
      <c r="O87" s="29">
        <f>N87+O86+O75</f>
        <v>0.37228299999999998</v>
      </c>
      <c r="P87" s="29">
        <f t="shared" si="165"/>
        <v>1.2359818563228091</v>
      </c>
      <c r="Q87" s="29" t="str">
        <f t="shared" si="166"/>
        <v>Ok!</v>
      </c>
      <c r="R87" s="9"/>
      <c r="S87" s="1">
        <f t="shared" si="167"/>
        <v>0.8</v>
      </c>
      <c r="T87" s="1">
        <f t="shared" si="156"/>
        <v>0.60000000000000009</v>
      </c>
      <c r="U87" s="1">
        <f t="shared" si="168"/>
        <v>4.1887902047863914</v>
      </c>
      <c r="V87" s="1">
        <f t="shared" si="169"/>
        <v>0.40438524868566655</v>
      </c>
      <c r="W87" s="1">
        <f t="shared" si="170"/>
        <v>1.6755160819145567</v>
      </c>
      <c r="X87" s="1">
        <f t="shared" si="171"/>
        <v>0.24134966715663447</v>
      </c>
      <c r="Y87" s="1">
        <f t="shared" si="172"/>
        <v>2.4589077750708981</v>
      </c>
      <c r="Z87" s="1">
        <f t="shared" si="173"/>
        <v>0.50265482457436694</v>
      </c>
    </row>
    <row r="88" spans="1:26" ht="42" customHeight="1" x14ac:dyDescent="0.25">
      <c r="A88" s="7"/>
      <c r="B88" s="19"/>
      <c r="C88" s="17"/>
      <c r="D88" s="17"/>
      <c r="E88" s="17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9"/>
    </row>
    <row r="89" spans="1:26" s="27" customFormat="1" ht="42" customHeight="1" x14ac:dyDescent="0.25">
      <c r="A89" s="24"/>
      <c r="B89" s="10"/>
      <c r="C89" s="8"/>
      <c r="D89" s="8"/>
      <c r="E89" s="8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26"/>
    </row>
    <row r="90" spans="1:26" x14ac:dyDescent="0.25">
      <c r="A90" s="7"/>
      <c r="B90" s="11"/>
      <c r="C90" s="8"/>
      <c r="D90" s="8"/>
      <c r="E90" s="8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9"/>
    </row>
    <row r="91" spans="1:26" ht="15" customHeight="1" x14ac:dyDescent="0.25">
      <c r="A91" s="7"/>
      <c r="B91" s="49"/>
      <c r="C91" s="49"/>
      <c r="D91" s="49"/>
      <c r="E91" s="49"/>
      <c r="F91" s="40"/>
      <c r="G91" s="40"/>
      <c r="H91" s="48"/>
      <c r="I91" s="12"/>
      <c r="J91" s="8"/>
      <c r="K91" s="8"/>
      <c r="L91" s="8"/>
      <c r="M91" s="8"/>
      <c r="N91" s="8"/>
      <c r="O91" s="8"/>
      <c r="P91" s="8"/>
      <c r="Q91" s="8"/>
      <c r="R91" s="9"/>
    </row>
    <row r="92" spans="1:26" ht="15" customHeight="1" x14ac:dyDescent="0.25">
      <c r="A92" s="7"/>
      <c r="B92" s="49"/>
      <c r="C92" s="49"/>
      <c r="D92" s="49"/>
      <c r="E92" s="49"/>
      <c r="F92" s="48"/>
      <c r="G92" s="40"/>
      <c r="H92" s="48"/>
      <c r="I92" s="12"/>
      <c r="J92" s="8"/>
      <c r="K92" s="8"/>
      <c r="L92" s="8"/>
      <c r="M92" s="8"/>
      <c r="N92" s="8"/>
      <c r="O92" s="8"/>
      <c r="P92" s="8"/>
      <c r="Q92" s="8"/>
      <c r="R92" s="9"/>
    </row>
    <row r="93" spans="1:26" x14ac:dyDescent="0.25">
      <c r="A93" s="7"/>
      <c r="B93" s="49"/>
      <c r="C93" s="49"/>
      <c r="D93" s="49"/>
      <c r="E93" s="49"/>
      <c r="F93" s="48"/>
      <c r="G93" s="40"/>
      <c r="H93" s="48"/>
      <c r="I93" s="12"/>
      <c r="J93" s="8"/>
      <c r="K93" s="8"/>
      <c r="L93" s="8"/>
      <c r="M93" s="8"/>
      <c r="N93" s="8"/>
      <c r="O93" s="8"/>
      <c r="P93" s="8"/>
      <c r="Q93" s="8"/>
      <c r="R93" s="9"/>
    </row>
    <row r="94" spans="1:26" ht="20.100000000000001" customHeight="1" x14ac:dyDescent="0.25">
      <c r="A94" s="7"/>
      <c r="B94" s="19"/>
      <c r="C94" s="17"/>
      <c r="D94" s="17"/>
      <c r="E94" s="17"/>
      <c r="F94" s="41"/>
      <c r="G94" s="18"/>
      <c r="H94" s="18"/>
      <c r="I94" s="12"/>
      <c r="J94" s="8"/>
      <c r="K94" s="8"/>
      <c r="L94" s="8"/>
      <c r="M94" s="8"/>
      <c r="N94" s="8"/>
      <c r="O94" s="8"/>
      <c r="P94" s="8"/>
      <c r="Q94" s="8"/>
      <c r="R94" s="9"/>
    </row>
    <row r="95" spans="1:26" ht="20.100000000000001" customHeight="1" x14ac:dyDescent="0.25">
      <c r="A95" s="7"/>
      <c r="B95" s="19"/>
      <c r="C95" s="17"/>
      <c r="D95" s="17"/>
      <c r="E95" s="17"/>
      <c r="F95" s="41"/>
      <c r="G95" s="18"/>
      <c r="H95" s="18"/>
      <c r="I95" s="12"/>
      <c r="J95" s="8"/>
      <c r="K95" s="8"/>
      <c r="L95" s="8"/>
      <c r="M95" s="8"/>
      <c r="N95" s="8"/>
      <c r="O95" s="8"/>
      <c r="P95" s="8"/>
      <c r="Q95" s="8"/>
      <c r="R95" s="9"/>
    </row>
    <row r="96" spans="1:26" ht="20.100000000000001" customHeight="1" x14ac:dyDescent="0.25">
      <c r="A96" s="7"/>
      <c r="B96" s="19"/>
      <c r="C96" s="17"/>
      <c r="D96" s="17"/>
      <c r="E96" s="17"/>
      <c r="F96" s="41"/>
      <c r="G96" s="18"/>
      <c r="H96" s="18"/>
      <c r="I96" s="12"/>
      <c r="J96" s="8"/>
      <c r="K96" s="8"/>
      <c r="L96" s="8"/>
      <c r="M96" s="8"/>
      <c r="N96" s="8"/>
      <c r="O96" s="8"/>
      <c r="P96" s="8"/>
      <c r="Q96" s="8"/>
      <c r="R96" s="9"/>
    </row>
    <row r="97" spans="1:18" ht="20.100000000000001" customHeight="1" x14ac:dyDescent="0.25">
      <c r="A97" s="7"/>
      <c r="B97" s="19"/>
      <c r="C97" s="17"/>
      <c r="D97" s="17"/>
      <c r="E97" s="17"/>
      <c r="F97" s="41"/>
      <c r="G97" s="18"/>
      <c r="H97" s="18"/>
      <c r="I97" s="12"/>
      <c r="J97" s="8"/>
      <c r="K97" s="8"/>
      <c r="L97" s="8"/>
      <c r="M97" s="8"/>
      <c r="N97" s="8"/>
      <c r="O97" s="8"/>
      <c r="P97" s="8"/>
      <c r="Q97" s="8"/>
      <c r="R97" s="9"/>
    </row>
    <row r="98" spans="1:18" ht="20.100000000000001" customHeight="1" x14ac:dyDescent="0.25">
      <c r="A98" s="7"/>
      <c r="B98" s="19"/>
      <c r="C98" s="17"/>
      <c r="D98" s="17"/>
      <c r="E98" s="17"/>
      <c r="F98" s="41"/>
      <c r="G98" s="18"/>
      <c r="H98" s="18"/>
      <c r="I98" s="12"/>
      <c r="J98" s="8"/>
      <c r="K98" s="8"/>
      <c r="L98" s="8"/>
      <c r="M98" s="8"/>
      <c r="N98" s="8"/>
      <c r="O98" s="8"/>
      <c r="P98" s="8"/>
      <c r="Q98" s="8"/>
      <c r="R98" s="9"/>
    </row>
    <row r="99" spans="1:18" ht="20.100000000000001" customHeight="1" x14ac:dyDescent="0.25">
      <c r="A99" s="7"/>
      <c r="B99" s="19"/>
      <c r="C99" s="17"/>
      <c r="D99" s="17"/>
      <c r="E99" s="17"/>
      <c r="F99" s="41"/>
      <c r="G99" s="18"/>
      <c r="H99" s="18"/>
      <c r="I99" s="12"/>
      <c r="J99" s="8"/>
      <c r="K99" s="8"/>
      <c r="L99" s="8"/>
      <c r="M99" s="8"/>
      <c r="N99" s="8"/>
      <c r="O99" s="8"/>
      <c r="P99" s="8"/>
      <c r="Q99" s="8"/>
      <c r="R99" s="9"/>
    </row>
    <row r="100" spans="1:18" ht="20.100000000000001" customHeight="1" x14ac:dyDescent="0.25">
      <c r="A100" s="7"/>
      <c r="B100" s="19"/>
      <c r="C100" s="17"/>
      <c r="D100" s="17"/>
      <c r="E100" s="17"/>
      <c r="F100" s="41"/>
      <c r="G100" s="18"/>
      <c r="H100" s="18"/>
      <c r="I100" s="12"/>
      <c r="J100" s="8"/>
      <c r="K100" s="8"/>
      <c r="L100" s="8"/>
      <c r="M100" s="8"/>
      <c r="N100" s="8"/>
      <c r="O100" s="8"/>
      <c r="P100" s="8"/>
      <c r="Q100" s="8"/>
      <c r="R100" s="9"/>
    </row>
    <row r="101" spans="1:18" ht="20.100000000000001" customHeight="1" x14ac:dyDescent="0.25">
      <c r="A101" s="7"/>
      <c r="B101" s="31"/>
      <c r="C101" s="25"/>
      <c r="D101" s="25"/>
      <c r="E101" s="25"/>
      <c r="F101" s="32"/>
      <c r="G101" s="32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9"/>
    </row>
    <row r="102" spans="1:18" ht="20.100000000000001" customHeight="1" x14ac:dyDescent="0.25">
      <c r="A102" s="7"/>
      <c r="B102" s="19"/>
      <c r="C102" s="25"/>
      <c r="D102" s="28"/>
      <c r="E102" s="28"/>
      <c r="F102" s="28"/>
      <c r="G102" s="2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9"/>
    </row>
    <row r="103" spans="1:18" ht="20.100000000000001" customHeight="1" x14ac:dyDescent="0.25">
      <c r="A103" s="7"/>
      <c r="B103" s="19"/>
      <c r="C103" s="25"/>
      <c r="D103" s="28"/>
      <c r="E103" s="28"/>
      <c r="F103" s="28"/>
      <c r="G103" s="2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9"/>
    </row>
    <row r="104" spans="1:18" ht="20.100000000000001" customHeight="1" x14ac:dyDescent="0.25">
      <c r="A104" s="7"/>
      <c r="B104" s="19"/>
      <c r="C104" s="25"/>
      <c r="D104" s="28"/>
      <c r="E104" s="28"/>
      <c r="F104" s="28"/>
      <c r="G104" s="2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9"/>
    </row>
    <row r="105" spans="1:18" ht="20.100000000000001" customHeight="1" x14ac:dyDescent="0.25">
      <c r="A105" s="7"/>
      <c r="B105" s="19"/>
      <c r="C105" s="25"/>
      <c r="D105" s="28"/>
      <c r="E105" s="28"/>
      <c r="F105" s="28"/>
      <c r="G105" s="28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9"/>
    </row>
    <row r="106" spans="1:18" ht="20.100000000000001" customHeight="1" x14ac:dyDescent="0.25">
      <c r="A106" s="7"/>
      <c r="B106" s="19"/>
      <c r="C106" s="25"/>
      <c r="D106" s="28"/>
      <c r="E106" s="28"/>
      <c r="F106" s="28"/>
      <c r="G106" s="28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9"/>
    </row>
    <row r="107" spans="1:18" ht="20.100000000000001" customHeight="1" x14ac:dyDescent="0.25">
      <c r="A107" s="7"/>
      <c r="B107" s="19"/>
      <c r="C107" s="25"/>
      <c r="D107" s="28"/>
      <c r="E107" s="28"/>
      <c r="F107" s="28"/>
      <c r="G107" s="28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9"/>
    </row>
    <row r="108" spans="1:18" ht="20.100000000000001" customHeight="1" x14ac:dyDescent="0.25">
      <c r="A108" s="7"/>
      <c r="B108" s="19"/>
      <c r="C108" s="25"/>
      <c r="D108" s="28"/>
      <c r="E108" s="28"/>
      <c r="F108" s="28"/>
      <c r="G108" s="28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9"/>
    </row>
    <row r="109" spans="1:18" ht="20.100000000000001" customHeight="1" x14ac:dyDescent="0.25">
      <c r="A109" s="7"/>
      <c r="B109" s="19"/>
      <c r="C109" s="25"/>
      <c r="D109" s="28"/>
      <c r="E109" s="28"/>
      <c r="F109" s="28"/>
      <c r="G109" s="28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9"/>
    </row>
    <row r="110" spans="1:18" ht="20.100000000000001" customHeight="1" x14ac:dyDescent="0.25">
      <c r="A110" s="7"/>
      <c r="B110" s="19"/>
      <c r="C110" s="25"/>
      <c r="D110" s="28"/>
      <c r="E110" s="28"/>
      <c r="F110" s="28"/>
      <c r="G110" s="28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9"/>
    </row>
    <row r="111" spans="1:18" ht="20.100000000000001" customHeight="1" x14ac:dyDescent="0.25">
      <c r="A111" s="7"/>
      <c r="B111" s="19"/>
      <c r="C111" s="25"/>
      <c r="D111" s="28"/>
      <c r="E111" s="28"/>
      <c r="F111" s="28"/>
      <c r="G111" s="28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9"/>
    </row>
    <row r="112" spans="1:18" ht="20.100000000000001" customHeight="1" x14ac:dyDescent="0.25">
      <c r="A112" s="7"/>
      <c r="B112" s="19"/>
      <c r="C112" s="25"/>
      <c r="D112" s="28"/>
      <c r="E112" s="28"/>
      <c r="F112" s="28"/>
      <c r="G112" s="28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9"/>
    </row>
    <row r="113" spans="1:18" ht="20.100000000000001" customHeight="1" x14ac:dyDescent="0.25">
      <c r="A113" s="7"/>
      <c r="B113" s="19"/>
      <c r="C113" s="25"/>
      <c r="D113" s="28"/>
      <c r="E113" s="28"/>
      <c r="F113" s="28"/>
      <c r="G113" s="28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9"/>
    </row>
    <row r="114" spans="1:18" ht="20.100000000000001" customHeight="1" x14ac:dyDescent="0.25">
      <c r="A114" s="7"/>
      <c r="B114" s="19"/>
      <c r="C114" s="25"/>
      <c r="D114" s="28"/>
      <c r="E114" s="28"/>
      <c r="F114" s="28"/>
      <c r="G114" s="28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9"/>
    </row>
    <row r="115" spans="1:18" ht="20.100000000000001" customHeight="1" x14ac:dyDescent="0.25">
      <c r="A115" s="7"/>
      <c r="B115" s="19"/>
      <c r="C115" s="25"/>
      <c r="D115" s="28"/>
      <c r="E115" s="28"/>
      <c r="F115" s="28"/>
      <c r="G115" s="28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9"/>
    </row>
    <row r="116" spans="1:18" ht="20.100000000000001" customHeight="1" x14ac:dyDescent="0.25">
      <c r="A116" s="7"/>
      <c r="B116" s="19"/>
      <c r="C116" s="25"/>
      <c r="D116" s="28"/>
      <c r="E116" s="28"/>
      <c r="F116" s="28"/>
      <c r="G116" s="28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9"/>
    </row>
    <row r="117" spans="1:18" ht="20.100000000000001" customHeight="1" x14ac:dyDescent="0.25">
      <c r="A117" s="7"/>
      <c r="B117" s="19"/>
      <c r="C117" s="25"/>
      <c r="D117" s="28"/>
      <c r="E117" s="28"/>
      <c r="F117" s="28"/>
      <c r="G117" s="28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9"/>
    </row>
    <row r="118" spans="1:18" ht="20.100000000000001" customHeight="1" x14ac:dyDescent="0.25">
      <c r="A118" s="7"/>
      <c r="B118" s="19"/>
      <c r="C118" s="25"/>
      <c r="D118" s="28"/>
      <c r="E118" s="28"/>
      <c r="F118" s="28"/>
      <c r="G118" s="28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9"/>
    </row>
    <row r="119" spans="1:18" ht="20.100000000000001" customHeight="1" x14ac:dyDescent="0.25">
      <c r="A119" s="7"/>
      <c r="B119" s="19"/>
      <c r="C119" s="25"/>
      <c r="D119" s="28"/>
      <c r="E119" s="28"/>
      <c r="F119" s="28"/>
      <c r="G119" s="28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9"/>
    </row>
    <row r="120" spans="1:18" ht="20.100000000000001" customHeight="1" x14ac:dyDescent="0.25">
      <c r="A120" s="7"/>
      <c r="B120" s="19"/>
      <c r="C120" s="25"/>
      <c r="D120" s="28"/>
      <c r="E120" s="28"/>
      <c r="F120" s="28"/>
      <c r="G120" s="28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9"/>
    </row>
    <row r="121" spans="1:18" ht="20.100000000000001" customHeight="1" x14ac:dyDescent="0.25">
      <c r="A121" s="7"/>
      <c r="B121" s="19"/>
      <c r="C121" s="25"/>
      <c r="D121" s="28"/>
      <c r="E121" s="28"/>
      <c r="F121" s="28"/>
      <c r="G121" s="28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9"/>
    </row>
    <row r="122" spans="1:18" ht="20.100000000000001" customHeight="1" x14ac:dyDescent="0.25">
      <c r="A122" s="7"/>
      <c r="B122" s="19"/>
      <c r="C122" s="25"/>
      <c r="D122" s="28"/>
      <c r="E122" s="28"/>
      <c r="F122" s="28"/>
      <c r="G122" s="28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9"/>
    </row>
    <row r="123" spans="1:18" ht="20.100000000000001" customHeight="1" x14ac:dyDescent="0.25">
      <c r="A123" s="7"/>
      <c r="B123" s="19"/>
      <c r="C123" s="25"/>
      <c r="D123" s="28"/>
      <c r="E123" s="28"/>
      <c r="F123" s="28"/>
      <c r="G123" s="28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9"/>
    </row>
    <row r="124" spans="1:18" ht="20.100000000000001" customHeight="1" x14ac:dyDescent="0.25">
      <c r="A124" s="7"/>
      <c r="B124" s="19"/>
      <c r="C124" s="25"/>
      <c r="D124" s="28"/>
      <c r="E124" s="28"/>
      <c r="F124" s="28"/>
      <c r="G124" s="28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9"/>
    </row>
    <row r="125" spans="1:18" ht="20.100000000000001" customHeight="1" x14ac:dyDescent="0.25">
      <c r="A125" s="7"/>
      <c r="B125" s="19"/>
      <c r="C125" s="25"/>
      <c r="D125" s="28"/>
      <c r="E125" s="28"/>
      <c r="F125" s="28"/>
      <c r="G125" s="28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9"/>
    </row>
    <row r="126" spans="1:18" ht="20.100000000000001" customHeight="1" x14ac:dyDescent="0.25">
      <c r="A126" s="7"/>
      <c r="B126" s="19"/>
      <c r="C126" s="25"/>
      <c r="D126" s="28"/>
      <c r="E126" s="28"/>
      <c r="F126" s="28"/>
      <c r="G126" s="28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9"/>
    </row>
    <row r="127" spans="1:18" ht="49.5" customHeight="1" thickBot="1" x14ac:dyDescent="0.3">
      <c r="A127" s="13"/>
      <c r="B127" s="14"/>
      <c r="C127" s="14"/>
      <c r="D127" s="14"/>
      <c r="E127" s="14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5"/>
    </row>
  </sheetData>
  <mergeCells count="91">
    <mergeCell ref="E14:E16"/>
    <mergeCell ref="H4:H6"/>
    <mergeCell ref="I4:I6"/>
    <mergeCell ref="K4:K6"/>
    <mergeCell ref="B4:B6"/>
    <mergeCell ref="C4:C6"/>
    <mergeCell ref="D4:D6"/>
    <mergeCell ref="E4:E6"/>
    <mergeCell ref="F4:F6"/>
    <mergeCell ref="G4:G6"/>
    <mergeCell ref="B70:B72"/>
    <mergeCell ref="C70:C72"/>
    <mergeCell ref="D70:D72"/>
    <mergeCell ref="E70:E72"/>
    <mergeCell ref="H70:H72"/>
    <mergeCell ref="Q4:Q6"/>
    <mergeCell ref="Q70:Q72"/>
    <mergeCell ref="L70:M70"/>
    <mergeCell ref="Q58:Q60"/>
    <mergeCell ref="L58:M58"/>
    <mergeCell ref="Q44:Q46"/>
    <mergeCell ref="Q14:Q16"/>
    <mergeCell ref="L4:M4"/>
    <mergeCell ref="L5:L6"/>
    <mergeCell ref="M5:M6"/>
    <mergeCell ref="L71:L72"/>
    <mergeCell ref="M71:M72"/>
    <mergeCell ref="M59:M60"/>
    <mergeCell ref="L59:L60"/>
    <mergeCell ref="M45:M46"/>
    <mergeCell ref="M15:M16"/>
    <mergeCell ref="B58:B60"/>
    <mergeCell ref="C58:C60"/>
    <mergeCell ref="D58:D60"/>
    <mergeCell ref="E58:E60"/>
    <mergeCell ref="H14:H16"/>
    <mergeCell ref="H58:H60"/>
    <mergeCell ref="B44:B46"/>
    <mergeCell ref="C44:C46"/>
    <mergeCell ref="D44:D46"/>
    <mergeCell ref="E44:E46"/>
    <mergeCell ref="H44:H46"/>
    <mergeCell ref="F44:F46"/>
    <mergeCell ref="G44:G46"/>
    <mergeCell ref="B14:B16"/>
    <mergeCell ref="C14:C16"/>
    <mergeCell ref="D14:D16"/>
    <mergeCell ref="H91:H93"/>
    <mergeCell ref="B91:B93"/>
    <mergeCell ref="C91:C93"/>
    <mergeCell ref="D91:D93"/>
    <mergeCell ref="E91:E93"/>
    <mergeCell ref="F92:F93"/>
    <mergeCell ref="N4:P4"/>
    <mergeCell ref="N5:O5"/>
    <mergeCell ref="P5:P6"/>
    <mergeCell ref="F14:F16"/>
    <mergeCell ref="G14:G16"/>
    <mergeCell ref="N14:P14"/>
    <mergeCell ref="N15:O15"/>
    <mergeCell ref="P15:P16"/>
    <mergeCell ref="J4:J6"/>
    <mergeCell ref="J14:J16"/>
    <mergeCell ref="L14:M14"/>
    <mergeCell ref="L15:L16"/>
    <mergeCell ref="I14:I16"/>
    <mergeCell ref="K14:K16"/>
    <mergeCell ref="F70:F72"/>
    <mergeCell ref="G70:G72"/>
    <mergeCell ref="N70:P70"/>
    <mergeCell ref="N71:O71"/>
    <mergeCell ref="P71:P72"/>
    <mergeCell ref="J70:J72"/>
    <mergeCell ref="K70:K72"/>
    <mergeCell ref="I70:I72"/>
    <mergeCell ref="N44:P44"/>
    <mergeCell ref="N45:O45"/>
    <mergeCell ref="P45:P46"/>
    <mergeCell ref="F58:F60"/>
    <mergeCell ref="G58:G60"/>
    <mergeCell ref="N58:P58"/>
    <mergeCell ref="N59:O59"/>
    <mergeCell ref="P59:P60"/>
    <mergeCell ref="J44:J46"/>
    <mergeCell ref="L44:M44"/>
    <mergeCell ref="L45:L46"/>
    <mergeCell ref="I58:I60"/>
    <mergeCell ref="K58:K60"/>
    <mergeCell ref="I44:I46"/>
    <mergeCell ref="K44:K46"/>
    <mergeCell ref="J58:J60"/>
  </mergeCells>
  <pageMargins left="0.78740157480314965" right="0.51181102362204722" top="0.51181102362204722" bottom="0.51181102362204722" header="0" footer="0.39370078740157483"/>
  <pageSetup paperSize="9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Dimensionamento</vt:lpstr>
      <vt:lpstr>Dimensionamento!Area_de_impressao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RELATÓRIO DE TUBOS E ESTRUTURAS DE C:\Márcio\DIVERSOS\Henrique ATP\Centro de Convenções UFPE\Projetos de Terraplenagem, Drenagem e Pavimentação\20170704_ATP_CECON_DRENAGEM-R0-1_V2016.dwg</dc:title>
  <dc:creator>Márcio</dc:creator>
  <cp:lastModifiedBy>Márcio</cp:lastModifiedBy>
  <cp:lastPrinted>2017-08-28T12:41:01Z</cp:lastPrinted>
  <dcterms:created xsi:type="dcterms:W3CDTF">2017-08-23T13:48:03Z</dcterms:created>
  <dcterms:modified xsi:type="dcterms:W3CDTF">2017-08-28T12:42:16Z</dcterms:modified>
</cp:coreProperties>
</file>